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555" windowWidth="12240" windowHeight="7515"/>
  </bookViews>
  <sheets>
    <sheet name="Guidelines" sheetId="16" r:id="rId1"/>
    <sheet name="State PIP" sheetId="8" state="hidden" r:id="rId2"/>
    <sheet name="SOE Last four quarters" sheetId="6" state="hidden" r:id="rId3"/>
    <sheet name="List" sheetId="11" state="hidden" r:id="rId4"/>
    <sheet name="District" sheetId="18" r:id="rId5"/>
    <sheet name="Priority Areas" sheetId="15" r:id="rId6"/>
    <sheet name="Organization of services" sheetId="14" r:id="rId7"/>
    <sheet name="Contractual staff" sheetId="5" r:id="rId8"/>
    <sheet name="PP NGO Support" sheetId="22" r:id="rId9"/>
    <sheet name="RNTCP Training" sheetId="13" r:id="rId10"/>
    <sheet name="Districtwise Head summary" sheetId="1" state="hidden" r:id="rId11"/>
    <sheet name="Budget summary" sheetId="19" state="hidden" r:id="rId12"/>
    <sheet name="SOE Last four quarters (2)" sheetId="21" r:id="rId13"/>
    <sheet name="Norms" sheetId="7" r:id="rId14"/>
  </sheets>
  <externalReferences>
    <externalReference r:id="rId15"/>
  </externalReferences>
  <definedNames>
    <definedName name="Mixed">'State PIP'!$B$4</definedName>
    <definedName name="Norm">'State PIP'!$D$3</definedName>
    <definedName name="_xlnm.Print_Area" localSheetId="4">District!$A$1:$U$335</definedName>
    <definedName name="_xlnm.Print_Titles" localSheetId="6">'Organization of services'!$A:$B</definedName>
  </definedNames>
  <calcPr calcId="145621"/>
</workbook>
</file>

<file path=xl/calcChain.xml><?xml version="1.0" encoding="utf-8"?>
<calcChain xmlns="http://schemas.openxmlformats.org/spreadsheetml/2006/main">
  <c r="I301" i="18" l="1"/>
  <c r="E240" i="18" l="1"/>
  <c r="C1" i="5" l="1"/>
  <c r="B2" i="13"/>
  <c r="C283" i="18" l="1"/>
  <c r="H333" i="18" l="1"/>
  <c r="F316" i="18" s="1"/>
  <c r="F333" i="18"/>
  <c r="H315" i="18"/>
  <c r="H317" i="18" s="1"/>
  <c r="G315" i="18"/>
  <c r="G317" i="18" s="1"/>
  <c r="F315" i="18"/>
  <c r="E315" i="18"/>
  <c r="E317" i="18" s="1"/>
  <c r="D315" i="18"/>
  <c r="D317" i="18" s="1"/>
  <c r="C289" i="18"/>
  <c r="E242" i="18"/>
  <c r="H233" i="18"/>
  <c r="G233" i="18"/>
  <c r="I310" i="18" s="1"/>
  <c r="F233" i="18"/>
  <c r="E233" i="18"/>
  <c r="D233" i="18"/>
  <c r="C233" i="18"/>
  <c r="D140" i="18"/>
  <c r="H98" i="18"/>
  <c r="H97" i="18"/>
  <c r="H96" i="18"/>
  <c r="H95" i="18"/>
  <c r="H94" i="18"/>
  <c r="H93" i="18"/>
  <c r="H92" i="18"/>
  <c r="H91" i="18"/>
  <c r="H87" i="18"/>
  <c r="H88" i="18"/>
  <c r="H89" i="18"/>
  <c r="H90" i="18"/>
  <c r="H86" i="18"/>
  <c r="G81" i="18"/>
  <c r="F317" i="18" l="1"/>
  <c r="I316" i="18"/>
  <c r="G195" i="18"/>
  <c r="I305" i="18" s="1"/>
  <c r="G152" i="18"/>
  <c r="I304" i="18" s="1"/>
  <c r="E152" i="18"/>
  <c r="G117" i="18"/>
  <c r="F117" i="18"/>
  <c r="E117" i="18"/>
  <c r="H68" i="18"/>
  <c r="I298" i="18" s="1"/>
  <c r="F68" i="18"/>
  <c r="E68" i="18"/>
  <c r="G49" i="18"/>
  <c r="F49" i="18"/>
  <c r="H57" i="18"/>
  <c r="I297" i="18" s="1"/>
  <c r="G57" i="18"/>
  <c r="F57" i="18"/>
  <c r="E57" i="18"/>
  <c r="D57" i="18"/>
  <c r="H195" i="18"/>
  <c r="F195" i="18"/>
  <c r="E195" i="18"/>
  <c r="C68" i="18" l="1"/>
  <c r="C57" i="18" l="1"/>
  <c r="J47" i="18"/>
  <c r="I47" i="18"/>
  <c r="H47" i="18"/>
  <c r="H37" i="18"/>
  <c r="D112" i="18"/>
  <c r="J44" i="18"/>
  <c r="I44" i="18"/>
  <c r="K47" i="18" l="1"/>
  <c r="H11" i="18"/>
  <c r="O1048538" i="18"/>
  <c r="N1048538" i="18"/>
  <c r="M1048538" i="18"/>
  <c r="L1048538" i="18"/>
  <c r="K1048538" i="18"/>
  <c r="J1048538" i="18"/>
  <c r="I1048538" i="18"/>
  <c r="O1048537" i="18"/>
  <c r="N1048537" i="18"/>
  <c r="M1048537" i="18"/>
  <c r="L1048537" i="18"/>
  <c r="K1048537" i="18"/>
  <c r="J1048537" i="18"/>
  <c r="I1048537" i="18"/>
  <c r="G1048537" i="18"/>
  <c r="F1048537" i="18"/>
  <c r="E1048537" i="18"/>
  <c r="C1048537" i="18"/>
  <c r="O1048536" i="18"/>
  <c r="N1048536" i="18"/>
  <c r="M1048536" i="18"/>
  <c r="L1048536" i="18"/>
  <c r="K1048536" i="18"/>
  <c r="J1048536" i="18"/>
  <c r="I1048536" i="18"/>
  <c r="G1048536" i="18"/>
  <c r="F1048536" i="18"/>
  <c r="E1048536" i="18"/>
  <c r="D1048536" i="18"/>
  <c r="C1048536" i="18"/>
  <c r="B1048536" i="18"/>
  <c r="A1048536" i="18"/>
  <c r="O1048535" i="18"/>
  <c r="N1048535" i="18"/>
  <c r="M1048535" i="18"/>
  <c r="L1048535" i="18"/>
  <c r="K1048535" i="18"/>
  <c r="J1048535" i="18"/>
  <c r="I1048535" i="18"/>
  <c r="G1048535" i="18"/>
  <c r="F1048535" i="18"/>
  <c r="E1048535" i="18"/>
  <c r="D1048535" i="18"/>
  <c r="C1048535" i="18"/>
  <c r="B1048535" i="18"/>
  <c r="A1048535" i="18"/>
  <c r="O1048534" i="18"/>
  <c r="N1048534" i="18"/>
  <c r="M1048534" i="18"/>
  <c r="L1048534" i="18"/>
  <c r="K1048534" i="18"/>
  <c r="J1048534" i="18"/>
  <c r="I1048534" i="18"/>
  <c r="G1048534" i="18"/>
  <c r="F1048534" i="18"/>
  <c r="E1048534" i="18"/>
  <c r="D1048534" i="18"/>
  <c r="C1048534" i="18"/>
  <c r="B1048534" i="18"/>
  <c r="A1048534" i="18"/>
  <c r="O1048533" i="18"/>
  <c r="N1048533" i="18"/>
  <c r="M1048533" i="18"/>
  <c r="L1048533" i="18"/>
  <c r="K1048533" i="18"/>
  <c r="J1048533" i="18"/>
  <c r="I1048533" i="18"/>
  <c r="G1048533" i="18"/>
  <c r="F1048533" i="18"/>
  <c r="E1048533" i="18"/>
  <c r="D1048533" i="18"/>
  <c r="C1048533" i="18"/>
  <c r="B1048533" i="18"/>
  <c r="A1048533" i="18"/>
  <c r="A1048529" i="18"/>
  <c r="C1048528" i="18"/>
  <c r="B1048528" i="18"/>
  <c r="A1048528" i="18"/>
  <c r="E1048527" i="18"/>
  <c r="E1048526" i="18"/>
  <c r="A1048526" i="18"/>
  <c r="I309" i="18"/>
  <c r="I308" i="18"/>
  <c r="G289" i="18"/>
  <c r="I314" i="18" s="1"/>
  <c r="E289" i="18"/>
  <c r="D289" i="18"/>
  <c r="G278" i="18"/>
  <c r="I313" i="18" s="1"/>
  <c r="F278" i="18"/>
  <c r="E278" i="18"/>
  <c r="C278" i="18"/>
  <c r="G267" i="18"/>
  <c r="I312" i="18" s="1"/>
  <c r="E263" i="18"/>
  <c r="E261" i="18"/>
  <c r="E260" i="18"/>
  <c r="E258" i="18"/>
  <c r="E257" i="18"/>
  <c r="E256" i="18"/>
  <c r="E255" i="18"/>
  <c r="E254" i="18"/>
  <c r="G244" i="18"/>
  <c r="I311" i="18" s="1"/>
  <c r="E243" i="18"/>
  <c r="E239" i="18"/>
  <c r="A218" i="18"/>
  <c r="I307" i="18"/>
  <c r="G208" i="18"/>
  <c r="I306" i="18" s="1"/>
  <c r="E208" i="18"/>
  <c r="C208" i="18"/>
  <c r="B207" i="18"/>
  <c r="B206" i="18"/>
  <c r="B200" i="18"/>
  <c r="D194" i="18"/>
  <c r="D193" i="18"/>
  <c r="D186" i="18"/>
  <c r="D181" i="18"/>
  <c r="D177" i="18"/>
  <c r="D176" i="18"/>
  <c r="F152" i="18"/>
  <c r="B149" i="18"/>
  <c r="D143" i="18"/>
  <c r="D142" i="18"/>
  <c r="G141" i="18"/>
  <c r="F141" i="18"/>
  <c r="E141" i="18"/>
  <c r="E144" i="18" s="1"/>
  <c r="C141" i="18"/>
  <c r="D134" i="18"/>
  <c r="D133" i="18"/>
  <c r="H132" i="18"/>
  <c r="G132" i="18"/>
  <c r="F132" i="18"/>
  <c r="E132" i="18"/>
  <c r="B132" i="18"/>
  <c r="D131" i="18"/>
  <c r="B131" i="18"/>
  <c r="D130" i="18"/>
  <c r="B130" i="18"/>
  <c r="H129" i="18"/>
  <c r="G129" i="18"/>
  <c r="F129" i="18"/>
  <c r="E129" i="18"/>
  <c r="D128" i="18"/>
  <c r="B128" i="18"/>
  <c r="B142" i="18" s="1"/>
  <c r="B141" i="18" s="1"/>
  <c r="D127" i="18"/>
  <c r="A122" i="18"/>
  <c r="I300" i="18"/>
  <c r="D109" i="18"/>
  <c r="D108" i="18"/>
  <c r="D107" i="18"/>
  <c r="D106" i="18"/>
  <c r="D105" i="18"/>
  <c r="D104" i="18"/>
  <c r="I99" i="18"/>
  <c r="H99" i="18"/>
  <c r="G99" i="18"/>
  <c r="F99" i="18"/>
  <c r="E99" i="18"/>
  <c r="D99" i="18"/>
  <c r="C99" i="18"/>
  <c r="B99" i="18"/>
  <c r="H76" i="18"/>
  <c r="G76" i="18"/>
  <c r="F76" i="18"/>
  <c r="G68" i="18"/>
  <c r="J48" i="18"/>
  <c r="I48" i="18"/>
  <c r="H48" i="18"/>
  <c r="J46" i="18"/>
  <c r="I46" i="18"/>
  <c r="H46" i="18"/>
  <c r="J45" i="18"/>
  <c r="I45" i="18"/>
  <c r="H45" i="18"/>
  <c r="K44" i="18"/>
  <c r="H44" i="18"/>
  <c r="I43" i="18"/>
  <c r="K43" i="18" s="1"/>
  <c r="H43" i="18"/>
  <c r="J42" i="18"/>
  <c r="I42" i="18"/>
  <c r="H42" i="18"/>
  <c r="B1048537" i="18" s="1"/>
  <c r="J41" i="18"/>
  <c r="I41" i="18"/>
  <c r="H41" i="18"/>
  <c r="D1048537" i="18" s="1"/>
  <c r="J40" i="18"/>
  <c r="I40" i="18"/>
  <c r="H40" i="18"/>
  <c r="A1048537" i="18" s="1"/>
  <c r="J38" i="18"/>
  <c r="I38" i="18"/>
  <c r="H38" i="18"/>
  <c r="J37" i="18"/>
  <c r="I37" i="18"/>
  <c r="F4" i="18"/>
  <c r="B1048527" i="18" s="1"/>
  <c r="I299" i="18" l="1"/>
  <c r="D195" i="18"/>
  <c r="G144" i="18"/>
  <c r="I303" i="18" s="1"/>
  <c r="B129" i="18"/>
  <c r="D129" i="18"/>
  <c r="E259" i="18"/>
  <c r="E267" i="18" s="1"/>
  <c r="B151" i="18"/>
  <c r="B152" i="18" s="1"/>
  <c r="D141" i="18"/>
  <c r="D144" i="18" s="1"/>
  <c r="D132" i="18"/>
  <c r="D135" i="18" s="1"/>
  <c r="K38" i="18"/>
  <c r="K40" i="18"/>
  <c r="K48" i="18"/>
  <c r="G135" i="18"/>
  <c r="I302" i="18" s="1"/>
  <c r="E244" i="18"/>
  <c r="H49" i="18"/>
  <c r="I296" i="18" s="1"/>
  <c r="I49" i="18"/>
  <c r="K41" i="18"/>
  <c r="K45" i="18"/>
  <c r="D117" i="18"/>
  <c r="K42" i="18"/>
  <c r="K46" i="18"/>
  <c r="E135" i="18"/>
  <c r="J49" i="18"/>
  <c r="B208" i="18"/>
  <c r="H14" i="18"/>
  <c r="K37" i="18"/>
  <c r="F144" i="18"/>
  <c r="A1048527" i="18"/>
  <c r="C1048527" i="18"/>
  <c r="G1048526" i="18"/>
  <c r="H411" i="8"/>
  <c r="G411" i="8"/>
  <c r="F411" i="8"/>
  <c r="E411" i="8"/>
  <c r="D411" i="8"/>
  <c r="C411" i="8"/>
  <c r="C80" i="8"/>
  <c r="C79" i="8"/>
  <c r="C78" i="8"/>
  <c r="C77" i="8"/>
  <c r="C76" i="8"/>
  <c r="C82" i="8" s="1"/>
  <c r="C75" i="8"/>
  <c r="J37" i="8"/>
  <c r="J36" i="8"/>
  <c r="D160" i="8"/>
  <c r="D161" i="8"/>
  <c r="C163" i="8"/>
  <c r="E163" i="8"/>
  <c r="F163" i="8"/>
  <c r="H163" i="8"/>
  <c r="I315" i="18" l="1"/>
  <c r="I317" i="18" s="1"/>
  <c r="K49" i="18"/>
  <c r="H292" i="8"/>
  <c r="F292" i="8"/>
  <c r="D292" i="8"/>
  <c r="I152" i="8"/>
  <c r="G152" i="8"/>
  <c r="E152" i="8"/>
  <c r="C149" i="8"/>
  <c r="J44" i="8"/>
  <c r="I44" i="8"/>
  <c r="I43" i="8"/>
  <c r="I42" i="8"/>
  <c r="J35" i="8"/>
  <c r="J38" i="8"/>
  <c r="J39" i="8"/>
  <c r="J40" i="8"/>
  <c r="I40" i="8"/>
  <c r="I39" i="8"/>
  <c r="I38" i="8"/>
  <c r="I37" i="8"/>
  <c r="I36" i="8"/>
  <c r="I35" i="8"/>
  <c r="G7" i="7"/>
  <c r="H7" i="7"/>
  <c r="I7" i="7"/>
  <c r="G8" i="7"/>
  <c r="H8" i="7"/>
  <c r="I8" i="7"/>
  <c r="G9" i="7"/>
  <c r="H9" i="7"/>
  <c r="G10" i="7"/>
  <c r="H10" i="7"/>
  <c r="I10" i="7"/>
  <c r="G11" i="7"/>
  <c r="H11" i="7"/>
  <c r="I11" i="7"/>
  <c r="G12" i="7"/>
  <c r="H12" i="7"/>
  <c r="I12" i="7"/>
  <c r="G13" i="7"/>
  <c r="H13" i="7"/>
  <c r="I13" i="7"/>
  <c r="G14" i="7"/>
  <c r="H14" i="7"/>
  <c r="I14" i="7"/>
  <c r="G15" i="7"/>
  <c r="H15" i="7"/>
  <c r="I15" i="7"/>
  <c r="G16" i="7"/>
  <c r="H16" i="7"/>
  <c r="I16" i="7"/>
  <c r="G17" i="7"/>
  <c r="H17" i="7"/>
  <c r="I17" i="7"/>
  <c r="G18" i="7"/>
  <c r="H18" i="7"/>
  <c r="I18" i="7"/>
  <c r="G19" i="7"/>
  <c r="H19" i="7"/>
  <c r="I19" i="7"/>
  <c r="G20" i="7"/>
  <c r="H20" i="7"/>
  <c r="I20" i="7"/>
  <c r="H6" i="7"/>
  <c r="I6" i="7"/>
  <c r="G6" i="7"/>
  <c r="N34" i="5" l="1"/>
  <c r="M34" i="5"/>
  <c r="L34" i="5"/>
  <c r="K34" i="5"/>
  <c r="J34" i="5"/>
  <c r="I34" i="5"/>
  <c r="H34" i="5"/>
  <c r="G34" i="5"/>
  <c r="F34" i="5"/>
  <c r="E34" i="5"/>
  <c r="D34" i="5"/>
  <c r="C34" i="5"/>
  <c r="E300" i="8"/>
  <c r="B271" i="8"/>
  <c r="M205" i="8"/>
  <c r="J205" i="8"/>
  <c r="M204" i="8"/>
  <c r="J204" i="8"/>
  <c r="M236" i="8"/>
  <c r="J236" i="8"/>
  <c r="M235" i="8"/>
  <c r="M192" i="8"/>
  <c r="D192" i="8"/>
  <c r="M96" i="8"/>
  <c r="J96" i="8"/>
  <c r="J459" i="8"/>
  <c r="M403" i="8" s="1"/>
  <c r="L403" i="8"/>
  <c r="K403" i="8"/>
  <c r="H402" i="8"/>
  <c r="G402" i="8"/>
  <c r="G404" i="8" s="1"/>
  <c r="F402" i="8"/>
  <c r="F404" i="8" s="1"/>
  <c r="E402" i="8"/>
  <c r="E404" i="8" s="1"/>
  <c r="D402" i="8"/>
  <c r="D404" i="8" s="1"/>
  <c r="L401" i="8"/>
  <c r="K401" i="8"/>
  <c r="L400" i="8"/>
  <c r="K400" i="8"/>
  <c r="L399" i="8"/>
  <c r="K399" i="8"/>
  <c r="L398" i="8"/>
  <c r="K398" i="8"/>
  <c r="L397" i="8"/>
  <c r="K397" i="8"/>
  <c r="L396" i="8"/>
  <c r="K396" i="8"/>
  <c r="L395" i="8"/>
  <c r="K395" i="8"/>
  <c r="L394" i="8"/>
  <c r="K394" i="8"/>
  <c r="L393" i="8"/>
  <c r="K393" i="8"/>
  <c r="L392" i="8"/>
  <c r="K392" i="8"/>
  <c r="L391" i="8"/>
  <c r="K391" i="8"/>
  <c r="L390" i="8"/>
  <c r="K390" i="8"/>
  <c r="L389" i="8"/>
  <c r="K389" i="8"/>
  <c r="L388" i="8"/>
  <c r="K388" i="8"/>
  <c r="L387" i="8"/>
  <c r="K387" i="8"/>
  <c r="L386" i="8"/>
  <c r="K386" i="8"/>
  <c r="L385" i="8"/>
  <c r="K385" i="8"/>
  <c r="L384" i="8"/>
  <c r="K384" i="8"/>
  <c r="M376" i="8"/>
  <c r="M375" i="8"/>
  <c r="M374" i="8"/>
  <c r="M373" i="8"/>
  <c r="M372" i="8"/>
  <c r="M371" i="8"/>
  <c r="M369" i="8"/>
  <c r="J369" i="8"/>
  <c r="M368" i="8"/>
  <c r="J368" i="8"/>
  <c r="M367" i="8"/>
  <c r="J367" i="8"/>
  <c r="M366" i="8"/>
  <c r="J366" i="8"/>
  <c r="M365" i="8"/>
  <c r="J365" i="8"/>
  <c r="M364" i="8"/>
  <c r="J364" i="8"/>
  <c r="C364" i="8"/>
  <c r="M357" i="8"/>
  <c r="M356" i="8"/>
  <c r="M355" i="8"/>
  <c r="M354" i="8"/>
  <c r="M353" i="8"/>
  <c r="E326" i="8"/>
  <c r="E325" i="8"/>
  <c r="E324" i="8"/>
  <c r="E323" i="8"/>
  <c r="E322" i="8"/>
  <c r="E321" i="8"/>
  <c r="E320" i="8"/>
  <c r="E319" i="8"/>
  <c r="A311" i="8"/>
  <c r="L307" i="8"/>
  <c r="E307" i="8"/>
  <c r="L306" i="8"/>
  <c r="E306" i="8"/>
  <c r="L304" i="8"/>
  <c r="E304" i="8"/>
  <c r="L303" i="8"/>
  <c r="E303" i="8"/>
  <c r="L300" i="8"/>
  <c r="L299" i="8"/>
  <c r="E299" i="8"/>
  <c r="L280" i="8"/>
  <c r="L278" i="8"/>
  <c r="H283" i="8"/>
  <c r="I397" i="8" s="1"/>
  <c r="L277" i="8"/>
  <c r="M271" i="8"/>
  <c r="F272" i="8"/>
  <c r="M270" i="8"/>
  <c r="J270" i="8"/>
  <c r="B270" i="8"/>
  <c r="M264" i="8"/>
  <c r="I265" i="8"/>
  <c r="I395" i="8" s="1"/>
  <c r="D265" i="8"/>
  <c r="M263" i="8"/>
  <c r="J263" i="8"/>
  <c r="I258" i="8"/>
  <c r="H258" i="8"/>
  <c r="F258" i="8"/>
  <c r="D258" i="8"/>
  <c r="M257" i="8"/>
  <c r="M256" i="8"/>
  <c r="M255" i="8"/>
  <c r="M254" i="8"/>
  <c r="M253" i="8"/>
  <c r="M252" i="8"/>
  <c r="M251" i="8"/>
  <c r="M250" i="8"/>
  <c r="M248" i="8"/>
  <c r="J248" i="8"/>
  <c r="M247" i="8"/>
  <c r="J247" i="8"/>
  <c r="M246" i="8"/>
  <c r="J246" i="8"/>
  <c r="M245" i="8"/>
  <c r="J245" i="8"/>
  <c r="M244" i="8"/>
  <c r="J244" i="8"/>
  <c r="B244" i="8"/>
  <c r="M237" i="8"/>
  <c r="J237" i="8"/>
  <c r="M234" i="8"/>
  <c r="J234" i="8"/>
  <c r="M233" i="8"/>
  <c r="J233" i="8"/>
  <c r="M232" i="8"/>
  <c r="L230" i="8"/>
  <c r="M228" i="8"/>
  <c r="M226" i="8"/>
  <c r="I226" i="8"/>
  <c r="M225" i="8"/>
  <c r="I225" i="8"/>
  <c r="D225" i="8"/>
  <c r="M223" i="8"/>
  <c r="M222" i="8"/>
  <c r="M221" i="8"/>
  <c r="M220" i="8"/>
  <c r="M218" i="8"/>
  <c r="M217" i="8"/>
  <c r="J217" i="8"/>
  <c r="M216" i="8"/>
  <c r="M215" i="8"/>
  <c r="M213" i="8"/>
  <c r="M212" i="8"/>
  <c r="M211" i="8"/>
  <c r="M209" i="8"/>
  <c r="M208" i="8"/>
  <c r="M207" i="8"/>
  <c r="M203" i="8"/>
  <c r="J203" i="8"/>
  <c r="M201" i="8"/>
  <c r="M200" i="8"/>
  <c r="M199" i="8"/>
  <c r="M198" i="8"/>
  <c r="M197" i="8"/>
  <c r="M196" i="8"/>
  <c r="M195" i="8"/>
  <c r="I194" i="8"/>
  <c r="M193" i="8"/>
  <c r="D193" i="8"/>
  <c r="M191" i="8"/>
  <c r="M190" i="8"/>
  <c r="D190" i="8"/>
  <c r="I175" i="8"/>
  <c r="M174" i="8"/>
  <c r="M173" i="8"/>
  <c r="M172" i="8"/>
  <c r="J172" i="8"/>
  <c r="B172" i="8"/>
  <c r="M171" i="8"/>
  <c r="E175" i="8"/>
  <c r="I166" i="8"/>
  <c r="G166" i="8"/>
  <c r="M165" i="8"/>
  <c r="D165" i="8"/>
  <c r="M164" i="8"/>
  <c r="M162" i="8"/>
  <c r="M161" i="8"/>
  <c r="J161" i="8"/>
  <c r="M160" i="8"/>
  <c r="J160" i="8"/>
  <c r="M154" i="8"/>
  <c r="J154" i="8"/>
  <c r="H154" i="8"/>
  <c r="F154" i="8"/>
  <c r="D154" i="8"/>
  <c r="M153" i="8"/>
  <c r="J153" i="8"/>
  <c r="H153" i="8"/>
  <c r="F153" i="8"/>
  <c r="M151" i="8"/>
  <c r="J151" i="8"/>
  <c r="H151" i="8"/>
  <c r="F151" i="8"/>
  <c r="M150" i="8"/>
  <c r="J150" i="8"/>
  <c r="J149" i="8" s="1"/>
  <c r="I149" i="8"/>
  <c r="H150" i="8"/>
  <c r="G149" i="8"/>
  <c r="F150" i="8"/>
  <c r="F149" i="8" s="1"/>
  <c r="D150" i="8"/>
  <c r="B150" i="8"/>
  <c r="M148" i="8"/>
  <c r="J148" i="8"/>
  <c r="H148" i="8"/>
  <c r="F148" i="8"/>
  <c r="D148" i="8"/>
  <c r="M147" i="8"/>
  <c r="J147" i="8"/>
  <c r="H147" i="8"/>
  <c r="F147" i="8"/>
  <c r="D147" i="8"/>
  <c r="M146" i="8"/>
  <c r="K146" i="8"/>
  <c r="D146" i="8"/>
  <c r="M145" i="8"/>
  <c r="K145" i="8"/>
  <c r="D145" i="8"/>
  <c r="K139" i="8"/>
  <c r="B139" i="8"/>
  <c r="G140" i="8"/>
  <c r="E140" i="8"/>
  <c r="C140" i="8"/>
  <c r="B138" i="8"/>
  <c r="D129" i="8"/>
  <c r="D128" i="8"/>
  <c r="D127" i="8"/>
  <c r="D126" i="8"/>
  <c r="D125" i="8"/>
  <c r="D124" i="8"/>
  <c r="D123" i="8"/>
  <c r="D121" i="8"/>
  <c r="J119" i="8"/>
  <c r="I119" i="8"/>
  <c r="H119" i="8"/>
  <c r="G119" i="8"/>
  <c r="F119" i="8"/>
  <c r="E119" i="8"/>
  <c r="N118" i="8"/>
  <c r="K118" i="8"/>
  <c r="N117" i="8"/>
  <c r="K117" i="8"/>
  <c r="N116" i="8"/>
  <c r="K116" i="8"/>
  <c r="N115" i="8"/>
  <c r="K115" i="8"/>
  <c r="N114" i="8"/>
  <c r="K114" i="8"/>
  <c r="N113" i="8"/>
  <c r="K113" i="8"/>
  <c r="D113" i="8"/>
  <c r="N112" i="8"/>
  <c r="K112" i="8"/>
  <c r="D112" i="8"/>
  <c r="N111" i="8"/>
  <c r="K111" i="8"/>
  <c r="D111" i="8"/>
  <c r="N110" i="8"/>
  <c r="K110" i="8"/>
  <c r="N109" i="8"/>
  <c r="K109" i="8"/>
  <c r="D109" i="8"/>
  <c r="N108" i="8"/>
  <c r="K108" i="8"/>
  <c r="D108" i="8"/>
  <c r="N107" i="8"/>
  <c r="K107" i="8"/>
  <c r="D107" i="8"/>
  <c r="N106" i="8"/>
  <c r="K106" i="8"/>
  <c r="D106" i="8"/>
  <c r="N105" i="8"/>
  <c r="K105" i="8"/>
  <c r="D105" i="8"/>
  <c r="M98" i="8"/>
  <c r="E99" i="8"/>
  <c r="B99" i="8"/>
  <c r="M97" i="8"/>
  <c r="J97" i="8"/>
  <c r="F97" i="8"/>
  <c r="F90" i="8"/>
  <c r="M81" i="8"/>
  <c r="M80" i="8"/>
  <c r="M79" i="8"/>
  <c r="M78" i="8"/>
  <c r="M77" i="8"/>
  <c r="M76" i="8"/>
  <c r="M75" i="8"/>
  <c r="M69" i="8"/>
  <c r="M68" i="8"/>
  <c r="M67" i="8"/>
  <c r="C67" i="8"/>
  <c r="M66" i="8"/>
  <c r="J66" i="8"/>
  <c r="M65" i="8"/>
  <c r="J65" i="8"/>
  <c r="C65" i="8"/>
  <c r="M59" i="8"/>
  <c r="M58" i="8"/>
  <c r="M57" i="8"/>
  <c r="M56" i="8"/>
  <c r="M55" i="8"/>
  <c r="K55" i="8"/>
  <c r="M53" i="8"/>
  <c r="M52" i="8"/>
  <c r="M51" i="8"/>
  <c r="M50" i="8"/>
  <c r="M49" i="8"/>
  <c r="M48" i="8"/>
  <c r="M47" i="8"/>
  <c r="G45" i="8"/>
  <c r="F45" i="8"/>
  <c r="E45" i="8"/>
  <c r="D45" i="8"/>
  <c r="H44" i="8"/>
  <c r="M44" i="8" s="1"/>
  <c r="J43" i="8"/>
  <c r="H43" i="8"/>
  <c r="J42" i="8"/>
  <c r="H42" i="8"/>
  <c r="M42" i="8" s="1"/>
  <c r="H38" i="8"/>
  <c r="H37" i="8"/>
  <c r="M37" i="8" s="1"/>
  <c r="H36" i="8"/>
  <c r="M36" i="8" s="1"/>
  <c r="H35" i="8"/>
  <c r="M35" i="8" s="1"/>
  <c r="F3" i="8"/>
  <c r="H149" i="8" l="1"/>
  <c r="F152" i="8"/>
  <c r="H152" i="8"/>
  <c r="L192" i="8"/>
  <c r="J67" i="8"/>
  <c r="L193" i="8"/>
  <c r="L212" i="8"/>
  <c r="F459" i="8"/>
  <c r="I403" i="8" s="1"/>
  <c r="J192" i="8"/>
  <c r="K38" i="8"/>
  <c r="B140" i="8"/>
  <c r="J372" i="8"/>
  <c r="D220" i="8"/>
  <c r="L220" i="8"/>
  <c r="J357" i="8"/>
  <c r="L256" i="8"/>
  <c r="I45" i="8"/>
  <c r="G90" i="8"/>
  <c r="M123" i="8"/>
  <c r="L164" i="8"/>
  <c r="H40" i="8"/>
  <c r="L40" i="8" s="1"/>
  <c r="F166" i="8"/>
  <c r="J165" i="8"/>
  <c r="K123" i="8"/>
  <c r="L195" i="8"/>
  <c r="L197" i="8"/>
  <c r="L208" i="8"/>
  <c r="J251" i="8"/>
  <c r="J252" i="8"/>
  <c r="J254" i="8"/>
  <c r="L49" i="8"/>
  <c r="L53" i="8"/>
  <c r="L67" i="8"/>
  <c r="L165" i="8"/>
  <c r="L196" i="8"/>
  <c r="J197" i="8"/>
  <c r="L200" i="8"/>
  <c r="J201" i="8"/>
  <c r="J220" i="8"/>
  <c r="J221" i="8"/>
  <c r="L225" i="8"/>
  <c r="L78" i="8"/>
  <c r="K125" i="8"/>
  <c r="M127" i="8"/>
  <c r="K148" i="8"/>
  <c r="M163" i="8"/>
  <c r="M166" i="8" s="1"/>
  <c r="H166" i="8"/>
  <c r="I391" i="8" s="1"/>
  <c r="L252" i="8"/>
  <c r="M272" i="8"/>
  <c r="L271" i="8"/>
  <c r="J277" i="8"/>
  <c r="J374" i="8"/>
  <c r="L162" i="8"/>
  <c r="L228" i="8"/>
  <c r="J45" i="8"/>
  <c r="M138" i="8"/>
  <c r="L371" i="8"/>
  <c r="K44" i="8"/>
  <c r="L51" i="8"/>
  <c r="L55" i="8"/>
  <c r="L79" i="8"/>
  <c r="H90" i="8"/>
  <c r="L98" i="8"/>
  <c r="K121" i="8"/>
  <c r="K140" i="8"/>
  <c r="L174" i="8"/>
  <c r="L211" i="8"/>
  <c r="L218" i="8"/>
  <c r="J228" i="8"/>
  <c r="J230" i="8"/>
  <c r="K43" i="8"/>
  <c r="L48" i="8"/>
  <c r="M70" i="8"/>
  <c r="H82" i="8"/>
  <c r="I386" i="8" s="1"/>
  <c r="L76" i="8"/>
  <c r="L77" i="8"/>
  <c r="F99" i="8"/>
  <c r="K130" i="8"/>
  <c r="M130" i="8"/>
  <c r="J174" i="8"/>
  <c r="J198" i="8"/>
  <c r="L201" i="8"/>
  <c r="J209" i="8"/>
  <c r="J232" i="8"/>
  <c r="J353" i="8"/>
  <c r="L355" i="8"/>
  <c r="H70" i="8"/>
  <c r="I385" i="8" s="1"/>
  <c r="D194" i="8"/>
  <c r="J68" i="8"/>
  <c r="L199" i="8"/>
  <c r="J250" i="8"/>
  <c r="B148" i="8"/>
  <c r="B164" i="8" s="1"/>
  <c r="B163" i="8" s="1"/>
  <c r="L57" i="8"/>
  <c r="L58" i="8"/>
  <c r="L69" i="8"/>
  <c r="J76" i="8"/>
  <c r="J78" i="8"/>
  <c r="J81" i="8"/>
  <c r="C99" i="8"/>
  <c r="J99" i="8" s="1"/>
  <c r="H99" i="8"/>
  <c r="I387" i="8" s="1"/>
  <c r="K124" i="8"/>
  <c r="K138" i="8"/>
  <c r="D164" i="8"/>
  <c r="J164" i="8"/>
  <c r="G175" i="8"/>
  <c r="L191" i="8"/>
  <c r="L198" i="8"/>
  <c r="L213" i="8"/>
  <c r="J216" i="8"/>
  <c r="J256" i="8"/>
  <c r="L257" i="8"/>
  <c r="C377" i="8"/>
  <c r="J375" i="8"/>
  <c r="L173" i="8"/>
  <c r="L353" i="8"/>
  <c r="C358" i="8"/>
  <c r="K50" i="8"/>
  <c r="L56" i="8"/>
  <c r="K58" i="8"/>
  <c r="L59" i="8"/>
  <c r="D70" i="8"/>
  <c r="F82" i="8"/>
  <c r="L75" i="8"/>
  <c r="M125" i="8"/>
  <c r="K127" i="8"/>
  <c r="K128" i="8"/>
  <c r="M131" i="8"/>
  <c r="L148" i="8"/>
  <c r="K150" i="8"/>
  <c r="M175" i="8"/>
  <c r="J173" i="8"/>
  <c r="L209" i="8"/>
  <c r="J253" i="8"/>
  <c r="L375" i="8"/>
  <c r="L376" i="8"/>
  <c r="H45" i="8"/>
  <c r="M43" i="8"/>
  <c r="M45" i="8" s="1"/>
  <c r="M128" i="8"/>
  <c r="L254" i="8"/>
  <c r="L171" i="8"/>
  <c r="H175" i="8"/>
  <c r="I392" i="8" s="1"/>
  <c r="K51" i="8"/>
  <c r="E132" i="8"/>
  <c r="E133" i="8" s="1"/>
  <c r="J152" i="8"/>
  <c r="J155" i="8" s="1"/>
  <c r="J162" i="8"/>
  <c r="M194" i="8"/>
  <c r="M238" i="8" s="1"/>
  <c r="G194" i="8"/>
  <c r="G238" i="8" s="1"/>
  <c r="L223" i="8"/>
  <c r="G54" i="8"/>
  <c r="G60" i="8" s="1"/>
  <c r="D119" i="8"/>
  <c r="L264" i="8"/>
  <c r="L308" i="8"/>
  <c r="K40" i="8"/>
  <c r="F54" i="8"/>
  <c r="F60" i="8" s="1"/>
  <c r="K52" i="8"/>
  <c r="K59" i="8"/>
  <c r="F70" i="8"/>
  <c r="J77" i="8"/>
  <c r="J80" i="8"/>
  <c r="I132" i="8"/>
  <c r="I133" i="8" s="1"/>
  <c r="I388" i="8" s="1"/>
  <c r="M124" i="8"/>
  <c r="K126" i="8"/>
  <c r="K129" i="8"/>
  <c r="M129" i="8"/>
  <c r="K131" i="8"/>
  <c r="J140" i="8"/>
  <c r="I389" i="8" s="1"/>
  <c r="G155" i="8"/>
  <c r="K151" i="8"/>
  <c r="L151" i="8"/>
  <c r="J171" i="8"/>
  <c r="J193" i="8"/>
  <c r="J196" i="8"/>
  <c r="J200" i="8"/>
  <c r="J207" i="8"/>
  <c r="L207" i="8"/>
  <c r="J223" i="8"/>
  <c r="J225" i="8"/>
  <c r="B272" i="8"/>
  <c r="L283" i="8"/>
  <c r="L374" i="8"/>
  <c r="J376" i="8"/>
  <c r="K39" i="8"/>
  <c r="K49" i="8"/>
  <c r="L50" i="8"/>
  <c r="G132" i="8"/>
  <c r="G133" i="8" s="1"/>
  <c r="C194" i="8"/>
  <c r="H194" i="8"/>
  <c r="H238" i="8" s="1"/>
  <c r="I393" i="8" s="1"/>
  <c r="L253" i="8"/>
  <c r="J255" i="8"/>
  <c r="H308" i="8"/>
  <c r="I398" i="8" s="1"/>
  <c r="L354" i="8"/>
  <c r="J356" i="8"/>
  <c r="L373" i="8"/>
  <c r="K42" i="8"/>
  <c r="K48" i="8"/>
  <c r="L52" i="8"/>
  <c r="J69" i="8"/>
  <c r="G82" i="8"/>
  <c r="M82" i="8"/>
  <c r="J79" i="8"/>
  <c r="L80" i="8"/>
  <c r="L81" i="8"/>
  <c r="M99" i="8"/>
  <c r="N119" i="8"/>
  <c r="M119" i="8" s="1"/>
  <c r="K147" i="8"/>
  <c r="L147" i="8"/>
  <c r="K154" i="8"/>
  <c r="L190" i="8"/>
  <c r="J191" i="8"/>
  <c r="J195" i="8"/>
  <c r="J199" i="8"/>
  <c r="J212" i="8"/>
  <c r="J213" i="8"/>
  <c r="J215" i="8"/>
  <c r="L216" i="8"/>
  <c r="J218" i="8"/>
  <c r="L251" i="8"/>
  <c r="J355" i="8"/>
  <c r="L356" i="8"/>
  <c r="L357" i="8"/>
  <c r="H377" i="8"/>
  <c r="I401" i="8" s="1"/>
  <c r="J373" i="8"/>
  <c r="B152" i="8"/>
  <c r="D132" i="8"/>
  <c r="J54" i="8"/>
  <c r="K53" i="8"/>
  <c r="E348" i="8"/>
  <c r="B174" i="8"/>
  <c r="K153" i="8"/>
  <c r="J264" i="8"/>
  <c r="B265" i="8"/>
  <c r="J265" i="8" s="1"/>
  <c r="E358" i="8"/>
  <c r="K404" i="8"/>
  <c r="D54" i="8"/>
  <c r="B151" i="8"/>
  <c r="B149" i="8" s="1"/>
  <c r="D153" i="8"/>
  <c r="D152" i="8" s="1"/>
  <c r="C152" i="8"/>
  <c r="L153" i="8"/>
  <c r="M152" i="8"/>
  <c r="L250" i="8"/>
  <c r="M258" i="8"/>
  <c r="E258" i="8"/>
  <c r="H272" i="8"/>
  <c r="I396" i="8" s="1"/>
  <c r="J371" i="8"/>
  <c r="E377" i="8"/>
  <c r="M377" i="8"/>
  <c r="K35" i="8"/>
  <c r="H39" i="8"/>
  <c r="L39" i="8" s="1"/>
  <c r="M54" i="8"/>
  <c r="K56" i="8"/>
  <c r="K119" i="8"/>
  <c r="M121" i="8"/>
  <c r="N132" i="8"/>
  <c r="M155" i="8"/>
  <c r="D151" i="8"/>
  <c r="D149" i="8" s="1"/>
  <c r="I155" i="8"/>
  <c r="I390" i="8" s="1"/>
  <c r="F194" i="8"/>
  <c r="F238" i="8" s="1"/>
  <c r="L222" i="8"/>
  <c r="L232" i="8"/>
  <c r="H348" i="8"/>
  <c r="I399" i="8" s="1"/>
  <c r="M358" i="8"/>
  <c r="F377" i="8"/>
  <c r="L402" i="8"/>
  <c r="H404" i="8"/>
  <c r="L404" i="8" s="1"/>
  <c r="E54" i="8"/>
  <c r="K57" i="8"/>
  <c r="C70" i="8"/>
  <c r="L68" i="8"/>
  <c r="E82" i="8"/>
  <c r="J75" i="8"/>
  <c r="I82" i="8"/>
  <c r="J98" i="8"/>
  <c r="M126" i="8"/>
  <c r="H155" i="8"/>
  <c r="E149" i="8"/>
  <c r="K149" i="8" s="1"/>
  <c r="M149" i="8"/>
  <c r="L149" i="8" s="1"/>
  <c r="J208" i="8"/>
  <c r="J211" i="8"/>
  <c r="L221" i="8"/>
  <c r="C258" i="8"/>
  <c r="G258" i="8"/>
  <c r="I394" i="8" s="1"/>
  <c r="J257" i="8"/>
  <c r="M265" i="8"/>
  <c r="E308" i="8"/>
  <c r="L348" i="8"/>
  <c r="F358" i="8"/>
  <c r="J354" i="8"/>
  <c r="K402" i="8"/>
  <c r="F155" i="8"/>
  <c r="D272" i="8"/>
  <c r="J272" i="8" s="1"/>
  <c r="J271" i="8"/>
  <c r="H358" i="8"/>
  <c r="I400" i="8" s="1"/>
  <c r="L372" i="8"/>
  <c r="L150" i="8"/>
  <c r="L154" i="8"/>
  <c r="F175" i="8"/>
  <c r="L215" i="8"/>
  <c r="J222" i="8"/>
  <c r="J226" i="8"/>
  <c r="B258" i="8"/>
  <c r="L255" i="8"/>
  <c r="J190" i="8"/>
  <c r="D166" i="8" l="1"/>
  <c r="D163" i="8"/>
  <c r="K152" i="8"/>
  <c r="J163" i="8"/>
  <c r="L70" i="8"/>
  <c r="L82" i="8"/>
  <c r="L45" i="8"/>
  <c r="K45" i="8"/>
  <c r="D238" i="8"/>
  <c r="J70" i="8"/>
  <c r="L166" i="8"/>
  <c r="M132" i="8"/>
  <c r="L175" i="8"/>
  <c r="J175" i="8"/>
  <c r="J82" i="8"/>
  <c r="E166" i="8"/>
  <c r="J166" i="8" s="1"/>
  <c r="K133" i="8"/>
  <c r="J238" i="8"/>
  <c r="J283" i="8"/>
  <c r="J60" i="8"/>
  <c r="L99" i="8"/>
  <c r="L238" i="8"/>
  <c r="J258" i="8"/>
  <c r="E155" i="8"/>
  <c r="K155" i="8" s="1"/>
  <c r="J194" i="8"/>
  <c r="D155" i="8"/>
  <c r="L152" i="8"/>
  <c r="K132" i="8"/>
  <c r="D133" i="8"/>
  <c r="L194" i="8"/>
  <c r="M60" i="8"/>
  <c r="L272" i="8"/>
  <c r="L265" i="8"/>
  <c r="L358" i="8"/>
  <c r="L47" i="8"/>
  <c r="H54" i="8"/>
  <c r="H60" i="8" s="1"/>
  <c r="I384" i="8" s="1"/>
  <c r="I402" i="8" s="1"/>
  <c r="I404" i="8" s="1"/>
  <c r="N133" i="8"/>
  <c r="L155" i="8"/>
  <c r="L377" i="8"/>
  <c r="J358" i="8"/>
  <c r="M140" i="8"/>
  <c r="I54" i="8"/>
  <c r="I60" i="8" s="1"/>
  <c r="K47" i="8"/>
  <c r="K54" i="8" s="1"/>
  <c r="J377" i="8"/>
  <c r="L258" i="8"/>
  <c r="K60" i="8" l="1"/>
  <c r="L54" i="8"/>
  <c r="M402" i="8"/>
  <c r="M404" i="8" s="1"/>
  <c r="M133" i="8"/>
  <c r="L60" i="8"/>
  <c r="N54" i="5" l="1"/>
</calcChain>
</file>

<file path=xl/comments1.xml><?xml version="1.0" encoding="utf-8"?>
<comments xmlns="http://schemas.openxmlformats.org/spreadsheetml/2006/main">
  <authors>
    <author>DR.MANOJ</author>
  </authors>
  <commentList>
    <comment ref="H276" authorId="0">
      <text>
        <r>
          <rPr>
            <b/>
            <sz val="9"/>
            <color indexed="81"/>
            <rFont val="Tahoma"/>
            <family val="2"/>
          </rPr>
          <t>DR.MANOJ:</t>
        </r>
        <r>
          <rPr>
            <sz val="9"/>
            <color indexed="81"/>
            <rFont val="Tahoma"/>
            <family val="2"/>
          </rPr>
          <t xml:space="preserve">
</t>
        </r>
      </text>
    </comment>
  </commentList>
</comments>
</file>

<file path=xl/sharedStrings.xml><?xml version="1.0" encoding="utf-8"?>
<sst xmlns="http://schemas.openxmlformats.org/spreadsheetml/2006/main" count="1819" uniqueCount="968">
  <si>
    <t>Sr No.</t>
  </si>
  <si>
    <t>Category of Expenditure</t>
  </si>
  <si>
    <t>Total</t>
  </si>
  <si>
    <t>Civil works</t>
  </si>
  <si>
    <t>Laboratory materials</t>
  </si>
  <si>
    <t>Honorarium/Counselling Charges</t>
  </si>
  <si>
    <t>ACSM</t>
  </si>
  <si>
    <t>Equipment maintenance</t>
  </si>
  <si>
    <t>Training</t>
  </si>
  <si>
    <t>Vehicle Operation (POL &amp; maintenance)</t>
  </si>
  <si>
    <t>Vehicle hiring</t>
  </si>
  <si>
    <t>Public-private Mix (PP/NGO support)</t>
  </si>
  <si>
    <t>Medical Colleges</t>
  </si>
  <si>
    <t>Office operations (Miscellaneous)</t>
  </si>
  <si>
    <t>Contractual services</t>
  </si>
  <si>
    <t>Printing</t>
  </si>
  <si>
    <t>Research, studies &amp; Consultancy</t>
  </si>
  <si>
    <t>Procurement –vehicles</t>
  </si>
  <si>
    <t>Procurement – equipment</t>
  </si>
  <si>
    <t>Patient support &amp; transportation charges</t>
  </si>
  <si>
    <t>Supervision &amp; Monitoring</t>
  </si>
  <si>
    <t>Additionalities under Disease pool fund</t>
  </si>
  <si>
    <t>Grand Total</t>
  </si>
  <si>
    <t>Annual Plan for Programme Performance &amp; Budget for the year</t>
  </si>
  <si>
    <t>State</t>
  </si>
  <si>
    <t>Norm</t>
  </si>
  <si>
    <t>Type</t>
  </si>
  <si>
    <t>Setting</t>
  </si>
  <si>
    <t>Tribal</t>
  </si>
  <si>
    <t>Urban</t>
  </si>
  <si>
    <t>Rural Population</t>
  </si>
  <si>
    <t>Urban Population</t>
  </si>
  <si>
    <t>Under already identified urban cities with &gt;1 million population</t>
  </si>
  <si>
    <t>Under Municipal corporation/council</t>
  </si>
  <si>
    <t>Total District Population</t>
  </si>
  <si>
    <t>Tribal Population</t>
  </si>
  <si>
    <t>Hilly population</t>
  </si>
  <si>
    <t>No of DMCs in the district</t>
  </si>
  <si>
    <t>Section C – Consolidated Plan for Performance and Expenditure under each head</t>
  </si>
  <si>
    <t>Analysis</t>
  </si>
  <si>
    <t>Justification/Remarks</t>
  </si>
  <si>
    <t>Norms</t>
  </si>
  <si>
    <t>Approved</t>
  </si>
  <si>
    <t>Activity</t>
  </si>
  <si>
    <t xml:space="preserve">No already upgraded/present in the District </t>
  </si>
  <si>
    <t>Number Planned to be upgraded during next financial year</t>
  </si>
  <si>
    <t>Estimated expenditure on the activity</t>
  </si>
  <si>
    <t>Upgradation</t>
  </si>
  <si>
    <t>Maintenance</t>
  </si>
  <si>
    <t>%</t>
  </si>
  <si>
    <t>Amount</t>
  </si>
  <si>
    <t>District TB Centre</t>
  </si>
  <si>
    <t>DR TB Centre</t>
  </si>
  <si>
    <t>Solid</t>
  </si>
  <si>
    <t>LPA</t>
  </si>
  <si>
    <t>Liquid</t>
  </si>
  <si>
    <t>Solid+LPA</t>
  </si>
  <si>
    <t>Liquid+LPA</t>
  </si>
  <si>
    <t>Solid+Liquid</t>
  </si>
  <si>
    <t>Solid+Liquid+LPA</t>
  </si>
  <si>
    <t>DDS ( for both 1st and 2nd Line drugs)</t>
  </si>
  <si>
    <t>TB Units</t>
  </si>
  <si>
    <t>DMCs with Smear Microscopy (ZN Staining)</t>
  </si>
  <si>
    <t>DMCs with smear microscopy (Fluorescent microscopy)</t>
  </si>
  <si>
    <t>DMCs with Rapid Diagnostics</t>
  </si>
  <si>
    <t>% of Procurement planned actually spent in last 4 quarters</t>
  </si>
  <si>
    <t>Amount actually spent in the last 4 quarters (in Rs.)</t>
  </si>
  <si>
    <t>Procurement planned during the current financial year (in Rs)</t>
  </si>
  <si>
    <t>Estimated expenditure for the next financial year for which plan is being submitted (in Rs)</t>
  </si>
  <si>
    <t>Purchase of Lab material for Smear Microscopy</t>
  </si>
  <si>
    <t>Purchase of Lab Materials by Districts for sample collection, packaging and transport to C-DST laboratory</t>
  </si>
  <si>
    <t>Purchase of Lab materials for C-DST lab in the district</t>
  </si>
  <si>
    <t>% of expenditure planned actually spent in last 4 quarters</t>
  </si>
  <si>
    <t>Amount permissible as per the norms</t>
  </si>
  <si>
    <t>Amount actually spent in the last 4 quarters</t>
  </si>
  <si>
    <t>Expenditure planned for current financial year</t>
  </si>
  <si>
    <t>Estimated expenditure for the next financial year</t>
  </si>
  <si>
    <t>Honorarium for volunteers  towards sputum collection and transport to DMC as per tribal action plan</t>
  </si>
  <si>
    <t>Honorarium to cover travel cost of tribal patients &amp; attendant(s) in tribal areas</t>
  </si>
  <si>
    <t>Honorarium to cover actual fare by public transport to MDRTB patient and one attendant for travel to DTC/DPS/IRL for follow up</t>
  </si>
  <si>
    <t>Actual fares by Public transport</t>
  </si>
  <si>
    <t>Details of DOT Providers</t>
  </si>
  <si>
    <t>Type of DOT Provider</t>
  </si>
  <si>
    <t>Number Presently involved under RNTCP</t>
  </si>
  <si>
    <t>Additional enrolment proposed for the next financial year</t>
  </si>
  <si>
    <t>Honorarium paid during last four quarters</t>
  </si>
  <si>
    <t>ASHA</t>
  </si>
  <si>
    <t>Anganwadi</t>
  </si>
  <si>
    <t>Community Volunteer</t>
  </si>
  <si>
    <t>Private providers / PPs (to whom honorarium is given from this head) (NGO/PP Scheme not signed)</t>
  </si>
  <si>
    <t>% of expenditure planned actually spent in last financial year</t>
  </si>
  <si>
    <t>Item</t>
  </si>
  <si>
    <t xml:space="preserve">Amount permissible as per the norms </t>
  </si>
  <si>
    <t>Amount proposed for maintenance during current financial year</t>
  </si>
  <si>
    <t xml:space="preserve">Office Equipment at DTC (maintenance includes AMC, software and hardware upgrades, Printer Cartridges,Internet expenses and repairs of photocopier, fax, OHP etc)
</t>
  </si>
  <si>
    <t>Binocular Microscopes</t>
  </si>
  <si>
    <t>LED Fluorescent Microscope</t>
  </si>
  <si>
    <t>Automated NAAT (CBNAAT)</t>
  </si>
  <si>
    <t>Office equipment at DRTB Centre</t>
  </si>
  <si>
    <t>C&amp;DST lab Equipment</t>
  </si>
  <si>
    <t>Laptop &amp; LCD Projector</t>
  </si>
  <si>
    <t>Refrigerator</t>
  </si>
  <si>
    <t>Amount proposed during current financial year</t>
  </si>
  <si>
    <t>Type of vehicle</t>
  </si>
  <si>
    <t>No permissible as per norms in the District</t>
  </si>
  <si>
    <t>No actually present/Planned for next financial year</t>
  </si>
  <si>
    <t>Amount spent on POL and maintenance in last 4 quarters</t>
  </si>
  <si>
    <t>Four wheelers DTO</t>
  </si>
  <si>
    <t>Four wheelers MOTC</t>
  </si>
  <si>
    <t>Two-wheelers STS</t>
  </si>
  <si>
    <t>Non Tribal</t>
  </si>
  <si>
    <t>Two-wheelers Others</t>
  </si>
  <si>
    <t>Hiring of four wheeler</t>
  </si>
  <si>
    <t>No actually requiring hired vehicles</t>
  </si>
  <si>
    <t>Amount spent in the previous 4 quarters</t>
  </si>
  <si>
    <t>For DTO</t>
  </si>
  <si>
    <t>For MOTC</t>
  </si>
  <si>
    <t xml:space="preserve">No. planned to be additionally hired during this year </t>
  </si>
  <si>
    <t xml:space="preserve">Amount spent in the previous 4 quarters </t>
  </si>
  <si>
    <t>Expenditure (in Rs) planned for current financial year</t>
  </si>
  <si>
    <t>Estimated Expenditure for the next financial year for which plan is being submitted (in Rs.)</t>
  </si>
  <si>
    <t>PP/NGO Support</t>
  </si>
  <si>
    <t>District level PPM Coordinator</t>
  </si>
  <si>
    <t>TBHV</t>
  </si>
  <si>
    <t>Particulars</t>
  </si>
  <si>
    <t>Public sector</t>
  </si>
  <si>
    <t>Private / NGO</t>
  </si>
  <si>
    <t>Number of medical colleges recognized by MCI present in district</t>
  </si>
  <si>
    <t>Number of medical colleges participating in program</t>
  </si>
  <si>
    <t>Number of High Case load PG Teaching Hospitals</t>
  </si>
  <si>
    <t>Number of TB Hospitals</t>
  </si>
  <si>
    <t>Number in Medical College</t>
  </si>
  <si>
    <t>Amount permissible as per norms (Rs)</t>
  </si>
  <si>
    <t>Amount spent in previous 4 quarters</t>
  </si>
  <si>
    <t>Estimated Expenditure for the next financial year (Rs.)</t>
  </si>
  <si>
    <t>Civil Work &amp; Maintenance:</t>
  </si>
  <si>
    <t>DMC</t>
  </si>
  <si>
    <t>DOTs Centre</t>
  </si>
  <si>
    <t>DRTB Centre</t>
  </si>
  <si>
    <t>C-DST Lab/IRLs</t>
  </si>
  <si>
    <t xml:space="preserve">Contractual Staff: </t>
  </si>
  <si>
    <t>Medical Officer</t>
  </si>
  <si>
    <t>Lab Technician</t>
  </si>
  <si>
    <t xml:space="preserve">ACSM: </t>
  </si>
  <si>
    <t>Core Committee Meetings and CMEs</t>
  </si>
  <si>
    <t>Sponsorship of plenary session on RNTCP in seminars / CME /Workshops</t>
  </si>
  <si>
    <t>Any Other activity</t>
  </si>
  <si>
    <t>Training:</t>
  </si>
  <si>
    <t>Numbers to be trained</t>
  </si>
  <si>
    <t>Faculty Members</t>
  </si>
  <si>
    <t xml:space="preserve">Residents &amp; interns, </t>
  </si>
  <si>
    <t>Nursing Staff</t>
  </si>
  <si>
    <t>Para-medical staff</t>
  </si>
  <si>
    <t>Research and Studies:</t>
  </si>
  <si>
    <r>
      <t>1.</t>
    </r>
    <r>
      <rPr>
        <sz val="7"/>
        <rFont val="Arial"/>
        <family val="2"/>
      </rPr>
      <t xml:space="preserve">      </t>
    </r>
    <r>
      <rPr>
        <sz val="11"/>
        <rFont val="Arial"/>
        <family val="2"/>
      </rPr>
      <t>Thesis of PG Students</t>
    </r>
  </si>
  <si>
    <r>
      <t>2.</t>
    </r>
    <r>
      <rPr>
        <sz val="7"/>
        <rFont val="Arial"/>
        <family val="2"/>
      </rPr>
      <t xml:space="preserve">      </t>
    </r>
    <r>
      <rPr>
        <sz val="11"/>
        <rFont val="Arial"/>
        <family val="2"/>
      </rPr>
      <t>Operations Research</t>
    </r>
  </si>
  <si>
    <t>Travel Expenses:</t>
  </si>
  <si>
    <t>For attending STF/ZTF/NTF/State OR and Zonal OR Committee meetings</t>
  </si>
  <si>
    <t>Equipment Maintenance:</t>
  </si>
  <si>
    <t xml:space="preserve"> At Nodal Centres</t>
  </si>
  <si>
    <t>Miscellaneous</t>
  </si>
  <si>
    <t>Postage, communication, fax, etc</t>
  </si>
  <si>
    <t>Allowance to existing manpower with STF Chairperson for clerical assistance</t>
  </si>
  <si>
    <t>TOTAL</t>
  </si>
  <si>
    <t xml:space="preserve">Amount permissible as per the norms in the District </t>
  </si>
  <si>
    <t>Stationary</t>
  </si>
  <si>
    <t>Telephone</t>
  </si>
  <si>
    <t>Electricity</t>
  </si>
  <si>
    <t>Drug transportation</t>
  </si>
  <si>
    <t>Review Meeting expenses</t>
  </si>
  <si>
    <t>Others (specify)</t>
  </si>
  <si>
    <t>C&amp;DST Laboratory</t>
  </si>
  <si>
    <t>Expenditure planned for current finacial year</t>
  </si>
  <si>
    <t>Estimated exenditure for the next financial year</t>
  </si>
  <si>
    <t>Whether submitted for approval/ already approved? (Yes/No)</t>
  </si>
  <si>
    <t>Estimated Total Budget</t>
  </si>
  <si>
    <t>Vehicle</t>
  </si>
  <si>
    <t xml:space="preserve">No planned for next finacial year </t>
  </si>
  <si>
    <t xml:space="preserve">Amount permissible as per the norms in the District 
</t>
  </si>
  <si>
    <t>Number</t>
  </si>
  <si>
    <t>New</t>
  </si>
  <si>
    <t>4 wheeler</t>
  </si>
  <si>
    <t>2 wheeler</t>
  </si>
  <si>
    <t>Replacement</t>
  </si>
  <si>
    <t>Equipment</t>
  </si>
  <si>
    <t>No planned for next financial year</t>
  </si>
  <si>
    <t>Lab Equipment</t>
  </si>
  <si>
    <t>Binocular Microscope</t>
  </si>
  <si>
    <t>LED Microscope</t>
  </si>
  <si>
    <t>Culture and Sensitivity Equipment</t>
  </si>
  <si>
    <t>Office Equipment</t>
  </si>
  <si>
    <r>
      <rPr>
        <sz val="18"/>
        <color theme="1"/>
        <rFont val="Arial"/>
        <family val="2"/>
      </rPr>
      <t>C&amp;DST Lab</t>
    </r>
    <r>
      <rPr>
        <sz val="11"/>
        <color theme="1"/>
        <rFont val="Arial"/>
        <family val="2"/>
      </rPr>
      <t>-Computer, modem, scanner, printer, UPS etc</t>
    </r>
  </si>
  <si>
    <r>
      <rPr>
        <sz val="16"/>
        <color theme="1"/>
        <rFont val="Arial"/>
        <family val="2"/>
      </rPr>
      <t>DRTB Centre</t>
    </r>
    <r>
      <rPr>
        <sz val="11"/>
        <color theme="1"/>
        <rFont val="Arial"/>
        <family val="2"/>
      </rPr>
      <t>-Computer, modem, scanner, printer, UPS etc</t>
    </r>
  </si>
  <si>
    <t>Fax machine</t>
  </si>
  <si>
    <t>Photo-copier</t>
  </si>
  <si>
    <t>LCD system with laptop</t>
  </si>
  <si>
    <t>Barcode reading Equipment and software</t>
  </si>
  <si>
    <t>PDA</t>
  </si>
  <si>
    <t xml:space="preserve">Amount permissible as per the norms in the district </t>
  </si>
  <si>
    <t>Amount spent in the previous 4 quarters (In Rs)</t>
  </si>
  <si>
    <t>Estimated Expenditure for the next financial year for which plan is being submitted (Rs.)</t>
  </si>
  <si>
    <t>Sputum collection and transportation from Non DMC PHIs to DMC/DTC</t>
  </si>
  <si>
    <t>Sputum sample transportation cost from DTC / DMC / Collection centre to Culture / DST lab by individual / courier agency / volunteer within the pre-decided time limit</t>
  </si>
  <si>
    <t>Transportation charges - actual travel  fare by public transport for MDR TB patient and 1 attendant for travel to DTC/DOTS Plus Site/IRL for follow up examination*</t>
  </si>
  <si>
    <t>MDR TB suspect travel to DTC / Collection centre for Culture / DST</t>
  </si>
  <si>
    <t>Other (specify)</t>
  </si>
  <si>
    <t>Supervision and Monitoring</t>
  </si>
  <si>
    <t>TA of Contractual Staff</t>
  </si>
  <si>
    <t>DA of Contractual Staff</t>
  </si>
  <si>
    <t>TA &amp; DA of DTO/MODTC for attending the meetings, workshops etc</t>
  </si>
  <si>
    <t>Review meeting expenditure</t>
  </si>
  <si>
    <t>Justification/remarks</t>
  </si>
  <si>
    <t>2011-12</t>
  </si>
  <si>
    <t>2012-13</t>
  </si>
  <si>
    <t>% Expenditure</t>
  </si>
  <si>
    <t>Utilized</t>
  </si>
  <si>
    <t>Funds available (opening bal+released)</t>
  </si>
  <si>
    <t>Utilized (till Sep 2012)</t>
  </si>
  <si>
    <t>Approved Amount</t>
  </si>
  <si>
    <t>Sr. No</t>
  </si>
  <si>
    <t>Proposed Activity</t>
  </si>
  <si>
    <t>Number required</t>
  </si>
  <si>
    <t>Unit cost</t>
  </si>
  <si>
    <t>Estimated expenditure</t>
  </si>
  <si>
    <t>Justification</t>
  </si>
  <si>
    <t>District</t>
  </si>
  <si>
    <t>Lab 1</t>
  </si>
  <si>
    <t>Lab 2</t>
  </si>
  <si>
    <t>Lab 3</t>
  </si>
  <si>
    <t>Research &amp; Studies</t>
  </si>
  <si>
    <t>None</t>
  </si>
  <si>
    <t>Any other known groups of special population for specific interventions (e.g. nomadic,migrant,industrial workers, etc)</t>
  </si>
  <si>
    <t>S. No.</t>
  </si>
  <si>
    <t>Remarks / Justification</t>
  </si>
  <si>
    <t>Physical Progress</t>
  </si>
  <si>
    <t>Financial Progress (Rs. Lakhs)</t>
  </si>
  <si>
    <t>Medical Officer-DTC</t>
  </si>
  <si>
    <t xml:space="preserve">Senior DOTS plus TB – HIV Supervisor </t>
  </si>
  <si>
    <t>STS</t>
  </si>
  <si>
    <t>STLS</t>
  </si>
  <si>
    <t>DEO</t>
  </si>
  <si>
    <t>Accountant – full time</t>
  </si>
  <si>
    <t>Contractual LT</t>
  </si>
  <si>
    <t>Driver ( if sanctioned from RNTCP )</t>
  </si>
  <si>
    <t>DRTB centre Sr. MO</t>
  </si>
  <si>
    <t>DR TB Centre Statistical Assistant</t>
  </si>
  <si>
    <t>DRTB centre  Counsellor</t>
  </si>
  <si>
    <t>Microbiologist – C&amp;DST lab (if approved</t>
  </si>
  <si>
    <t>LTs – C&amp;DST lab (if approved)</t>
  </si>
  <si>
    <t>DEO – C&amp;DST lab (if approved)</t>
  </si>
  <si>
    <t>District Program Coordinator</t>
  </si>
  <si>
    <t xml:space="preserve">Any other (specify) </t>
  </si>
  <si>
    <t>Budget Approved</t>
  </si>
  <si>
    <t>Expenditure as on Sep end</t>
  </si>
  <si>
    <t>Physical</t>
  </si>
  <si>
    <t>Budget proposed</t>
  </si>
  <si>
    <t>Financial</t>
  </si>
  <si>
    <t>NAME OF THE DISTRICT</t>
  </si>
  <si>
    <t>DETAILED  BUDGET : 2014-15</t>
  </si>
  <si>
    <t>No. of posts sanctioned 2013-14</t>
  </si>
  <si>
    <t>No. filled in</t>
  </si>
  <si>
    <t>No. of existing posts to be continued</t>
  </si>
  <si>
    <t>No. of additional posts proposed</t>
  </si>
  <si>
    <t>Total posts</t>
  </si>
  <si>
    <t>Contractual Staff:</t>
  </si>
  <si>
    <t>Contractual Salary Head</t>
  </si>
  <si>
    <t>Honorarium for DOT providers of Cat IV / V patients – Intensive phase*</t>
  </si>
  <si>
    <t>Honorarium for DOT providers of Cat IV / V patients – Continuation  phase</t>
  </si>
  <si>
    <t>No. of registered patients with non-salaried dot provider in last 4 quarters</t>
  </si>
  <si>
    <t>Oct-Dec</t>
  </si>
  <si>
    <t>Jan-Mar</t>
  </si>
  <si>
    <t>Apr-Jun</t>
  </si>
  <si>
    <t>Jul-Sep</t>
  </si>
  <si>
    <t>Total 4 quarters</t>
  </si>
  <si>
    <t>Expenditure as per SOE of last four quarters:</t>
  </si>
  <si>
    <t>Procurement of Drugs</t>
  </si>
  <si>
    <t>Type of Drugs</t>
  </si>
  <si>
    <t>First Line Drug</t>
  </si>
  <si>
    <t>MDR Drugs</t>
  </si>
  <si>
    <t>XDR Drugs</t>
  </si>
  <si>
    <t>Others</t>
  </si>
  <si>
    <t>1. Civil Works</t>
  </si>
  <si>
    <t>2013-14</t>
  </si>
  <si>
    <t>13. Printing</t>
  </si>
  <si>
    <t>14. Research and Studies</t>
  </si>
  <si>
    <t>15. Procurement of Drugs</t>
  </si>
  <si>
    <t>16. Procurement of vehicles</t>
  </si>
  <si>
    <t>Number planned for next FY</t>
  </si>
  <si>
    <t>Number sanctioned in previous 4 quarters</t>
  </si>
  <si>
    <t>Names of the drugs procured locally</t>
  </si>
  <si>
    <t>UNIT Costs</t>
  </si>
  <si>
    <t>FMR Code</t>
  </si>
  <si>
    <t>FMR Heads</t>
  </si>
  <si>
    <t>Sub heads</t>
  </si>
  <si>
    <t>Unit cost as per NSP( per annum)</t>
  </si>
  <si>
    <t>Unit cost as proposed by state in PIP</t>
  </si>
  <si>
    <t xml:space="preserve">Upgradation </t>
  </si>
  <si>
    <t>I.1</t>
  </si>
  <si>
    <t>Civil Works</t>
  </si>
  <si>
    <t>STDC</t>
  </si>
  <si>
    <t xml:space="preserve">STO Office </t>
  </si>
  <si>
    <t>IRL- Microscopy</t>
  </si>
  <si>
    <t>C&amp;DST- LPA MGIT</t>
  </si>
  <si>
    <t>C&amp;DST- Solid  LJ</t>
  </si>
  <si>
    <t>C&amp;DST liquid new</t>
  </si>
  <si>
    <t>SDS with FLD</t>
  </si>
  <si>
    <t>SDS with SLD ( additional )</t>
  </si>
  <si>
    <t>DTC( for new building)</t>
  </si>
  <si>
    <t>DTC( for renovation of building)</t>
  </si>
  <si>
    <t>TU</t>
  </si>
  <si>
    <t>DMC with rapid diagnostic</t>
  </si>
  <si>
    <t>50000( in adition to 60000)</t>
  </si>
  <si>
    <t>Cost</t>
  </si>
  <si>
    <t xml:space="preserve">basis of calculation </t>
  </si>
  <si>
    <t>I.2</t>
  </si>
  <si>
    <t xml:space="preserve">Laboratory Materials </t>
  </si>
  <si>
    <t>State level</t>
  </si>
  <si>
    <t>per million popn</t>
  </si>
  <si>
    <t>District level</t>
  </si>
  <si>
    <t>Automated CBNAAT</t>
  </si>
  <si>
    <t>I.3</t>
  </si>
  <si>
    <t>Honorarium /counselling charges</t>
  </si>
  <si>
    <t>DOT provider of Cat I patient</t>
  </si>
  <si>
    <t>Per patient</t>
  </si>
  <si>
    <t>DOT provider of Cat II patient</t>
  </si>
  <si>
    <t>Cat IV(MDR patients)</t>
  </si>
  <si>
    <t>CatV( XDR patients)</t>
  </si>
  <si>
    <t>I.4</t>
  </si>
  <si>
    <t>ACSM officer</t>
  </si>
  <si>
    <t>per person/ annum</t>
  </si>
  <si>
    <t>State Level IEC cost</t>
  </si>
  <si>
    <t>Type A</t>
  </si>
  <si>
    <t>Type B</t>
  </si>
  <si>
    <t>Type C</t>
  </si>
  <si>
    <t>IEC agency and activity cost</t>
  </si>
  <si>
    <t>District level IEC cost</t>
  </si>
  <si>
    <t>Urban cities</t>
  </si>
  <si>
    <t>Million + cities</t>
  </si>
  <si>
    <t>I.5</t>
  </si>
  <si>
    <t>Equipment maintanance</t>
  </si>
  <si>
    <t>District level freeze</t>
  </si>
  <si>
    <t>Per unit/pa</t>
  </si>
  <si>
    <t>computer/photocopier/fax</t>
  </si>
  <si>
    <t>per district</t>
  </si>
  <si>
    <t>Binocular microscope</t>
  </si>
  <si>
    <t>Fluorescen microscope</t>
  </si>
  <si>
    <t>Automated NAAT</t>
  </si>
  <si>
    <t>C&amp;DST lab</t>
  </si>
  <si>
    <t>per lab</t>
  </si>
  <si>
    <t>PDA device</t>
  </si>
  <si>
    <t>LCD machine</t>
  </si>
  <si>
    <t>other</t>
  </si>
  <si>
    <t>15% pf cost of machine</t>
  </si>
  <si>
    <t>I.6</t>
  </si>
  <si>
    <t>Training of medicals</t>
  </si>
  <si>
    <t>per batch</t>
  </si>
  <si>
    <t xml:space="preserve"> training of paramedicals</t>
  </si>
  <si>
    <t>I.7</t>
  </si>
  <si>
    <t>Vehicle operation</t>
  </si>
  <si>
    <t>2 wheeler STS</t>
  </si>
  <si>
    <t>per person pa</t>
  </si>
  <si>
    <t>2 wheeler STLS</t>
  </si>
  <si>
    <t>4 wheelers</t>
  </si>
  <si>
    <t>per vehicle pa</t>
  </si>
  <si>
    <t>4 wheelers (MOTC)</t>
  </si>
  <si>
    <t>per MOTC pa</t>
  </si>
  <si>
    <t>I.8</t>
  </si>
  <si>
    <t>STC</t>
  </si>
  <si>
    <t>per vehicle</t>
  </si>
  <si>
    <t>DTO</t>
  </si>
  <si>
    <t>MOTC</t>
  </si>
  <si>
    <t>HIV TB coordinators</t>
  </si>
  <si>
    <t>Other</t>
  </si>
  <si>
    <t>I.9</t>
  </si>
  <si>
    <t>NGO /PP support</t>
  </si>
  <si>
    <t>State Level</t>
  </si>
  <si>
    <t>per million pop pa</t>
  </si>
  <si>
    <t xml:space="preserve">District Level </t>
  </si>
  <si>
    <t>State PPM coordinator</t>
  </si>
  <si>
    <t>District PPM coordinator</t>
  </si>
  <si>
    <t>PPIA</t>
  </si>
  <si>
    <t>per patient</t>
  </si>
  <si>
    <t>I.10</t>
  </si>
  <si>
    <t>Medical colleges</t>
  </si>
  <si>
    <t>Medical officer</t>
  </si>
  <si>
    <t>TB HV</t>
  </si>
  <si>
    <t>LT</t>
  </si>
  <si>
    <t>Treatment Monitor</t>
  </si>
  <si>
    <t>National Level Conferences (8/year)</t>
  </si>
  <si>
    <t>State Level Conference  (4/year)</t>
  </si>
  <si>
    <t>Medical Colleges CME (1/year)</t>
  </si>
  <si>
    <t>Training of Resident Doctors  (50/yr)</t>
  </si>
  <si>
    <t>Organisational Conference Costs-NTF</t>
  </si>
  <si>
    <t>Organisational Conference Costs-ZTF</t>
  </si>
  <si>
    <t>Organisational Conference Costs-STF</t>
  </si>
  <si>
    <t>Research by PG Med. Students on TB</t>
  </si>
  <si>
    <t>TA/DA costs of NTF/ZTF/STF Chairman and Members to NTF</t>
  </si>
  <si>
    <t>TA/DA costs of NTF/ZTF/STF Chairman and Members to ZTF</t>
  </si>
  <si>
    <t>TA/DA costs of NTF/ZTF/STF Chairman and Members to STF</t>
  </si>
  <si>
    <t>TA/DA costs for National Training of Medical College Faculty</t>
  </si>
  <si>
    <t>STF Chairperson Travel Cost for supervisory visit</t>
  </si>
  <si>
    <t>STF Chairperson Travel Cost for meetings and Internal Evaluation</t>
  </si>
  <si>
    <t>Stationary and Misc Fund for STF office @ Rs.0.02 lakh per medical college</t>
  </si>
  <si>
    <t>Stationary and Misc Fund for ZTF office @ Rs. 0.01 lakh per medical college</t>
  </si>
  <si>
    <t>Medical colleges - for postage, communication, fax etc.</t>
  </si>
  <si>
    <t>Clerical assistance allowance to the STF / ZTF chairperson's existing department manpower for coordination</t>
  </si>
  <si>
    <t>Operational Research Committee Meetings</t>
  </si>
  <si>
    <t>I.11</t>
  </si>
  <si>
    <t xml:space="preserve">Office Operation </t>
  </si>
  <si>
    <t>For STC</t>
  </si>
  <si>
    <t>Type A (fixed cost)</t>
  </si>
  <si>
    <t>Per state</t>
  </si>
  <si>
    <t>Type B (fixed cost)</t>
  </si>
  <si>
    <t>Type C (fixed cost)</t>
  </si>
  <si>
    <t>All states( in a addition to the fixed cost)</t>
  </si>
  <si>
    <t>per million population</t>
  </si>
  <si>
    <t>per unit pa</t>
  </si>
  <si>
    <t>IRL</t>
  </si>
  <si>
    <t>SDS</t>
  </si>
  <si>
    <t>DRTB centre</t>
  </si>
  <si>
    <t xml:space="preserve">District TB cell </t>
  </si>
  <si>
    <t>All districts ( in a addition to the fixed cost)</t>
  </si>
  <si>
    <t>I.12</t>
  </si>
  <si>
    <t>Epidemiologist(Asst. Prog.Officer)</t>
  </si>
  <si>
    <t xml:space="preserve">Medical Officer (Asst STO) </t>
  </si>
  <si>
    <t xml:space="preserve">TB HIV Coordinators </t>
  </si>
  <si>
    <t xml:space="preserve"> State Accountant</t>
  </si>
  <si>
    <t>Secretarial Assistant</t>
  </si>
  <si>
    <t>Data Entry Operator (STC)</t>
  </si>
  <si>
    <t>Driver</t>
  </si>
  <si>
    <t>DR-TB Coordinator*</t>
  </si>
  <si>
    <t>DEO-STF chairman*</t>
  </si>
  <si>
    <t>Data Analyst*</t>
  </si>
  <si>
    <t>Technical Officer - Procurement &amp; Logistic Personnel*</t>
  </si>
  <si>
    <t>Microbiologist - EQA*</t>
  </si>
  <si>
    <t>Culture &amp; DST Lab</t>
  </si>
  <si>
    <t>Microbiologist</t>
  </si>
  <si>
    <t>Sr. Lab. Tech. for IRL</t>
  </si>
  <si>
    <t>Data Entry Operator for IRL</t>
  </si>
  <si>
    <t xml:space="preserve">Pharmacist cum Storekeeper </t>
  </si>
  <si>
    <t>Store Assistant</t>
  </si>
  <si>
    <t>District level:</t>
  </si>
  <si>
    <t xml:space="preserve">Medical Officer (MO-DTC) </t>
  </si>
  <si>
    <t>Senior Treatment Supervisor</t>
  </si>
  <si>
    <t xml:space="preserve">Senior  Laboratory Treatment Supervisor </t>
  </si>
  <si>
    <t xml:space="preserve">Laboratory Technician </t>
  </si>
  <si>
    <t xml:space="preserve">Driver </t>
  </si>
  <si>
    <t>Data Entry Operator</t>
  </si>
  <si>
    <t>Sr.DOTS+ TBHIV Supervisor</t>
  </si>
  <si>
    <t>DOTS Plus Site Sr. MO</t>
  </si>
  <si>
    <t>DOTS Plus Site Stats. Asstt.</t>
  </si>
  <si>
    <t>MO-Medical college</t>
  </si>
  <si>
    <t>LT-Medical college</t>
  </si>
  <si>
    <t>TBHV-Medical college</t>
  </si>
  <si>
    <t>Councillor at DOTS plus site</t>
  </si>
  <si>
    <t>Assistant Accountant*</t>
  </si>
  <si>
    <t>District Program Coordinator*</t>
  </si>
  <si>
    <t>I.13</t>
  </si>
  <si>
    <t>State Leve</t>
  </si>
  <si>
    <t>I.14</t>
  </si>
  <si>
    <t>Reserach ,Studies &amp; Consultancy</t>
  </si>
  <si>
    <t>Research Dissemination workshop</t>
  </si>
  <si>
    <t>Participation in International conference</t>
  </si>
  <si>
    <t>Technical meetings</t>
  </si>
  <si>
    <t>I.15</t>
  </si>
  <si>
    <t>Procurement ofdrugs</t>
  </si>
  <si>
    <t>I.16</t>
  </si>
  <si>
    <t>Procurement of Vehicles</t>
  </si>
  <si>
    <t>Two wheeler</t>
  </si>
  <si>
    <t>Four wheelers</t>
  </si>
  <si>
    <t>I.17</t>
  </si>
  <si>
    <t>Procurement of Equipment</t>
  </si>
  <si>
    <t>Computer system</t>
  </si>
  <si>
    <t>LEDFM</t>
  </si>
  <si>
    <t>Fax system</t>
  </si>
  <si>
    <t>LCD</t>
  </si>
  <si>
    <t>Photocopier</t>
  </si>
  <si>
    <t>Video Conferencing Equipment for Cental &amp; State level</t>
  </si>
  <si>
    <t>I.18</t>
  </si>
  <si>
    <t>Patient support and transportation charges</t>
  </si>
  <si>
    <t xml:space="preserve">cost to volunteer for sputum collection </t>
  </si>
  <si>
    <t>per volunteer/ month if sputum are taken more than once in a week</t>
  </si>
  <si>
    <t>I.19</t>
  </si>
  <si>
    <t>per million  population</t>
  </si>
  <si>
    <t>SIE</t>
  </si>
  <si>
    <t>per SIE</t>
  </si>
  <si>
    <t xml:space="preserve">Review meeting </t>
  </si>
  <si>
    <t>1st April 2013 to 31st March 2014</t>
  </si>
  <si>
    <t>Number of districts submitted action Plan</t>
  </si>
  <si>
    <t>Type of setting</t>
  </si>
  <si>
    <t>Rural</t>
  </si>
  <si>
    <t>A</t>
  </si>
  <si>
    <t>B</t>
  </si>
  <si>
    <t>C</t>
  </si>
  <si>
    <t>Number of districts</t>
  </si>
  <si>
    <t>State Population (in lakh);Please give projected population for next year</t>
  </si>
  <si>
    <t>Number of Districts in the state</t>
  </si>
  <si>
    <t>No of TB Units in the Districts</t>
  </si>
  <si>
    <t>No of DRTB Centres in the districts</t>
  </si>
  <si>
    <t>No of C&amp;DST Labs in the districts</t>
  </si>
  <si>
    <t>No required as per the norms in the State</t>
  </si>
  <si>
    <t>State TB Office</t>
  </si>
  <si>
    <t>State TB Training and Demonstration Centre (STDC)</t>
  </si>
  <si>
    <t>C&amp;DST Lab (State Level)</t>
  </si>
  <si>
    <t>Subtotal C &amp;DST Lab (State Level)</t>
  </si>
  <si>
    <t>C&amp;DST Lab (District Level)</t>
  </si>
  <si>
    <t>Subtotal C &amp;DST Lab (District Level)</t>
  </si>
  <si>
    <t>Amount permissible as per the norms in the Districts</t>
  </si>
  <si>
    <t>Lab materials for EQA activity at STDC (eg.  Lab consumables for trainings, preparation of Panel slides etc)</t>
  </si>
  <si>
    <t>Lab materials &amp; consumables for Culture/DST activity at IRL and other Accredited Culture &amp; DST labs in Govt. sector including Medical Colleges</t>
  </si>
  <si>
    <t>Honorarium</t>
  </si>
  <si>
    <t>Advocacy, Communication and Social Mobilization</t>
  </si>
  <si>
    <t>State Level ACSM</t>
  </si>
  <si>
    <t>District Level ACSM</t>
  </si>
  <si>
    <t xml:space="preserve">No actually present </t>
  </si>
  <si>
    <t xml:space="preserve">Office Equipment at STC,STDC,IRL,SDS, DR TB Centre (maintenance includes AMC, software and hardware upgrades, Printer Cartridges,Internet expenses and repairs of photocopier, fax, OHP etc)
</t>
  </si>
  <si>
    <t>IRL Equipments</t>
  </si>
  <si>
    <t>"@ 15% of equipment cost"</t>
  </si>
  <si>
    <t>Bar Code Printer</t>
  </si>
  <si>
    <t>Bar code Reading equipment</t>
  </si>
  <si>
    <t>Video Conferencing unit</t>
  </si>
  <si>
    <t>Any Other (Please specify)</t>
  </si>
  <si>
    <t>Sub Total (State Level)</t>
  </si>
  <si>
    <t>District Level</t>
  </si>
  <si>
    <t>Sub Total (District Level)</t>
  </si>
  <si>
    <t>Level</t>
  </si>
  <si>
    <t>Vehicle maintenance</t>
  </si>
  <si>
    <t>Four wheeler STC</t>
  </si>
  <si>
    <t>Four wheeler STDC</t>
  </si>
  <si>
    <t>No permissible as per norms in the state</t>
  </si>
  <si>
    <t>Public-private Mix: (PP/NGO Support)</t>
  </si>
  <si>
    <t>State Level PPM Coordinator</t>
  </si>
  <si>
    <t>State level Treatment monitor</t>
  </si>
  <si>
    <t>PG Teaching/TB/Other Hospitals</t>
  </si>
  <si>
    <t>Support to Conferences, symposiums, panel discussions and workshops organized at National and state levels and at level of Medical college</t>
  </si>
  <si>
    <t>Organizational cost for STF Meeting</t>
  </si>
  <si>
    <t>Operational Research Committee Meeting</t>
  </si>
  <si>
    <t>Office Operations (Miscellaneous)</t>
  </si>
  <si>
    <t>STC level</t>
  </si>
  <si>
    <t>STDC level</t>
  </si>
  <si>
    <t xml:space="preserve">Number of Operational Research projects planned </t>
  </si>
  <si>
    <t>Estimated District Budget</t>
  </si>
  <si>
    <t>Estimated State Budget</t>
  </si>
  <si>
    <t>New 4 wheeler</t>
  </si>
  <si>
    <t>Replacement                4 wheeler</t>
  </si>
  <si>
    <t>Procurement of equipment</t>
  </si>
  <si>
    <t>No actually present</t>
  </si>
  <si>
    <t xml:space="preserve">Amount permissible as per the norms
</t>
  </si>
  <si>
    <r>
      <rPr>
        <b/>
        <sz val="14"/>
        <color theme="1"/>
        <rFont val="Arial"/>
        <family val="2"/>
      </rPr>
      <t>STC</t>
    </r>
    <r>
      <rPr>
        <sz val="11"/>
        <color theme="1"/>
        <rFont val="Arial"/>
        <family val="2"/>
      </rPr>
      <t>-Computer, modem, scanner, printer, UPS etc</t>
    </r>
  </si>
  <si>
    <t>Patient Support and Transportation charges</t>
  </si>
  <si>
    <t>TA &amp; DA of STO and other regular staff at State TB Cell for attending the meetings, workshops etc</t>
  </si>
  <si>
    <t>Additionality Funds from Disease Pool funds -                                                                                                                                                Details of the activities for which Additionality Funds are proposed to be sought.</t>
  </si>
  <si>
    <t>Slum / Urban poor population</t>
  </si>
  <si>
    <t>No of BPMUs in the districts under NRHM</t>
  </si>
  <si>
    <t>No of DMCs / health facilities with rapid molecular diagnostics (CBNAAT) in the districts</t>
  </si>
  <si>
    <t>Name of District</t>
  </si>
  <si>
    <t>Funds available (opening bal+released+re-allocations)</t>
  </si>
  <si>
    <t>Permissible Budget as per population norm for 2014-15</t>
  </si>
  <si>
    <t>Budget proposed for next financial year (2014-15)</t>
  </si>
  <si>
    <t>Approved Budget for FY 2014-15</t>
  </si>
  <si>
    <t>Budget proposed in last Annual Action plan (2012-13)</t>
  </si>
  <si>
    <t>Amount available in this head (Opening balance+ recieved) (2012-13)</t>
  </si>
  <si>
    <t>Amount spent (2012-13)</t>
  </si>
  <si>
    <t>State Level ACSM Officer - Renumeration</t>
  </si>
  <si>
    <t xml:space="preserve">No. required as per the norms </t>
  </si>
  <si>
    <t>No. actually present</t>
  </si>
  <si>
    <t>Rapid molecular diagnostic facility (CBNAAT)</t>
  </si>
  <si>
    <t>Organizational cost for ZTF Meeting</t>
  </si>
  <si>
    <t>Organizational cost for NTF Meeting</t>
  </si>
  <si>
    <t>DEO for STF (if approved)</t>
  </si>
  <si>
    <t>DEO for ZTF (if approved)</t>
  </si>
  <si>
    <t>No. required as per the norms</t>
  </si>
  <si>
    <t>District Level:</t>
  </si>
  <si>
    <t>State level:</t>
  </si>
  <si>
    <t>Asst Programme Officer/Epidemiologist</t>
  </si>
  <si>
    <t>Medical officer – STC</t>
  </si>
  <si>
    <t>DRTB Coordinator</t>
  </si>
  <si>
    <t>TB/HIV Coordinator</t>
  </si>
  <si>
    <t>Microbiologist for IRL</t>
  </si>
  <si>
    <t>Sr.LT at IRL</t>
  </si>
  <si>
    <t>State IEC Officer</t>
  </si>
  <si>
    <t>Accounts Officer /State Accountant</t>
  </si>
  <si>
    <t>SDS Pharmacist</t>
  </si>
  <si>
    <t>Store Assistant (SDS)</t>
  </si>
  <si>
    <t>DEO (State TB Cell)</t>
  </si>
  <si>
    <t>DEO (IRL)</t>
  </si>
  <si>
    <t>Secretarial Asst</t>
  </si>
  <si>
    <t>DEO – STF (if approved)</t>
  </si>
  <si>
    <t>Technical Officer – procurement &amp; logistics</t>
  </si>
  <si>
    <t>IRL – Microbiologist EQA</t>
  </si>
  <si>
    <t>C&amp;DST Lab – Microbiologist*</t>
  </si>
  <si>
    <t>C&amp;DST Lab – Sr LT*</t>
  </si>
  <si>
    <t>C&amp;DST Lab – DEO*</t>
  </si>
  <si>
    <t>Sr. MO-DRTB Centre</t>
  </si>
  <si>
    <t>SA- DRTB Centre</t>
  </si>
  <si>
    <t>Councillor - DRTB Centre</t>
  </si>
  <si>
    <t>TOTAL - STATE LEVEL</t>
  </si>
  <si>
    <t>Commited unspent  balance  (as on Sep 2013)</t>
  </si>
  <si>
    <t>No. of additional posts</t>
  </si>
  <si>
    <t>No. of contractual posts continued</t>
  </si>
  <si>
    <t>Number to be trained - Medical</t>
  </si>
  <si>
    <t>Number to be trained - Para-medical</t>
  </si>
  <si>
    <t>Honorarium for DOT providers for Cat I patients (NEW)</t>
  </si>
  <si>
    <t>Honorarium for DOT providers for Cat II patients (RETREATMENT)</t>
  </si>
  <si>
    <t>Tribal / Hilly</t>
  </si>
  <si>
    <t>Mixed</t>
  </si>
  <si>
    <t xml:space="preserve">Arunachal Pradesh </t>
  </si>
  <si>
    <t xml:space="preserve">Assam </t>
  </si>
  <si>
    <t xml:space="preserve">Bihar </t>
  </si>
  <si>
    <t xml:space="preserve">Chandigarh </t>
  </si>
  <si>
    <t xml:space="preserve">Chhattisgarh </t>
  </si>
  <si>
    <t xml:space="preserve">Dadra &amp; Nagar Haveli </t>
  </si>
  <si>
    <t xml:space="preserve">Daman and Diu </t>
  </si>
  <si>
    <t xml:space="preserve">Delhi </t>
  </si>
  <si>
    <t xml:space="preserve">Gujarat </t>
  </si>
  <si>
    <t xml:space="preserve">Haryana </t>
  </si>
  <si>
    <t xml:space="preserve">Himachal Pradesh </t>
  </si>
  <si>
    <t xml:space="preserve">Jammu &amp; Kashmir </t>
  </si>
  <si>
    <t xml:space="preserve">Jharkhand </t>
  </si>
  <si>
    <t xml:space="preserve">Karnataka </t>
  </si>
  <si>
    <t xml:space="preserve">Kerala </t>
  </si>
  <si>
    <t xml:space="preserve">Lakshadweep </t>
  </si>
  <si>
    <t xml:space="preserve">Madhya Pradesh </t>
  </si>
  <si>
    <t xml:space="preserve">Maharashtra </t>
  </si>
  <si>
    <t xml:space="preserve">Manipur </t>
  </si>
  <si>
    <t xml:space="preserve">Meghalaya </t>
  </si>
  <si>
    <t xml:space="preserve">Mizoram </t>
  </si>
  <si>
    <t xml:space="preserve">Nagaland </t>
  </si>
  <si>
    <t xml:space="preserve">Orissa </t>
  </si>
  <si>
    <t xml:space="preserve">Puducherry </t>
  </si>
  <si>
    <t xml:space="preserve">Punjab </t>
  </si>
  <si>
    <t xml:space="preserve">Rajasthan </t>
  </si>
  <si>
    <t xml:space="preserve">Sikkim </t>
  </si>
  <si>
    <t xml:space="preserve">Tamil Nadu </t>
  </si>
  <si>
    <t xml:space="preserve">Tripura </t>
  </si>
  <si>
    <t xml:space="preserve">Uttar Pradesh </t>
  </si>
  <si>
    <t xml:space="preserve">Uttarakhand </t>
  </si>
  <si>
    <t xml:space="preserve">West Bengal </t>
  </si>
  <si>
    <t xml:space="preserve">Andaman &amp; Nicobar Islands </t>
  </si>
  <si>
    <t xml:space="preserve">Andhra Pradesh </t>
  </si>
  <si>
    <t xml:space="preserve">Goa </t>
  </si>
  <si>
    <t xml:space="preserve">Revised National TB Control Program </t>
  </si>
  <si>
    <t xml:space="preserve">No. already trained in RNTCP </t>
  </si>
  <si>
    <t>No.  planned to be trained in RNTCP during each quarter of next FY</t>
  </si>
  <si>
    <t xml:space="preserve">Expenditure (in Rs) planned for current financial year </t>
  </si>
  <si>
    <t>Estimated Expenditure for the next financial year for which plan is being submitted</t>
  </si>
  <si>
    <t>(Rs.)</t>
  </si>
  <si>
    <t>Justification/ remarks</t>
  </si>
  <si>
    <t>(a)</t>
  </si>
  <si>
    <t>(b)</t>
  </si>
  <si>
    <t>(d)</t>
  </si>
  <si>
    <t>(e)</t>
  </si>
  <si>
    <t>(f)</t>
  </si>
  <si>
    <t>Training of MOs</t>
  </si>
  <si>
    <t xml:space="preserve">Training of LTs of DMCs- </t>
  </si>
  <si>
    <t>Govt + Non Govt</t>
  </si>
  <si>
    <t>Training of MPWs</t>
  </si>
  <si>
    <t xml:space="preserve">Training of MPHS, pharmacists, </t>
  </si>
  <si>
    <t>nursing staff, BEO etc</t>
  </si>
  <si>
    <t>Training of Comm Volunteers</t>
  </si>
  <si>
    <t>Training of Pvt Practitioners</t>
  </si>
  <si>
    <t>Other trainings #</t>
  </si>
  <si>
    <t>Re- training of MOs</t>
  </si>
  <si>
    <t>Re- Training of LTs of DMCs</t>
  </si>
  <si>
    <t>Re- Training of MPWs</t>
  </si>
  <si>
    <t>Re- Training of MPHS</t>
  </si>
  <si>
    <t>Re- Training of Pharmacists</t>
  </si>
  <si>
    <t>Re- Training of nursing staff, BEO</t>
  </si>
  <si>
    <t xml:space="preserve">Re- Training of CVs </t>
  </si>
  <si>
    <t>Re-training of Pvt Practitioners</t>
  </si>
  <si>
    <t>TB/HIV Training of MOs</t>
  </si>
  <si>
    <t>TB/HIV Training of STLS, LTs , MPWs, MPHS, Nursing Staff, Community Volunteers etc</t>
  </si>
  <si>
    <t>TB/HIV Training of STS</t>
  </si>
  <si>
    <t>Training of BMOs  in PMDT</t>
  </si>
  <si>
    <t>Training of MOs in PMDT</t>
  </si>
  <si>
    <t>Training of Para medicals in PMDT</t>
  </si>
  <si>
    <t>Provision for Update Training at Various Levels(key staff &amp; MO-PHIs)</t>
  </si>
  <si>
    <t>Any Other Training Activity( Key staff &amp; MO-PHIs)</t>
  </si>
  <si>
    <r>
      <t>-</t>
    </r>
    <r>
      <rPr>
        <sz val="7"/>
        <color theme="1"/>
        <rFont val="Times New Roman"/>
        <family val="1"/>
      </rPr>
      <t xml:space="preserve">       </t>
    </r>
    <r>
      <rPr>
        <sz val="8"/>
        <color theme="1"/>
        <rFont val="Tahoma"/>
        <family val="2"/>
      </rPr>
      <t>AYUSH / School health / NRHM contractual doctors training</t>
    </r>
  </si>
  <si>
    <r>
      <t>-</t>
    </r>
    <r>
      <rPr>
        <sz val="7"/>
        <color theme="1"/>
        <rFont val="Times New Roman"/>
        <family val="1"/>
      </rPr>
      <t xml:space="preserve">       </t>
    </r>
    <r>
      <rPr>
        <sz val="8"/>
        <color theme="1"/>
        <rFont val="Tahoma"/>
        <family val="2"/>
      </rPr>
      <t>Sensitization of DMC LTs for sputum collection &amp; transport mechanism for culture &amp; DST</t>
    </r>
  </si>
  <si>
    <r>
      <t>-</t>
    </r>
    <r>
      <rPr>
        <sz val="7"/>
        <color theme="1"/>
        <rFont val="Times New Roman"/>
        <family val="1"/>
      </rPr>
      <t xml:space="preserve">       </t>
    </r>
    <r>
      <rPr>
        <sz val="8"/>
        <color theme="1"/>
        <rFont val="Tahoma"/>
        <family val="2"/>
      </rPr>
      <t>Orientation / sensitization of nursing staff, cv, pharmacists (school health/ NRHM) etc</t>
    </r>
  </si>
  <si>
    <t>Review meetings</t>
  </si>
  <si>
    <t>Q1</t>
  </si>
  <si>
    <t>Q2</t>
  </si>
  <si>
    <t>Q3</t>
  </si>
  <si>
    <t>Q4</t>
  </si>
  <si>
    <t>Number of Operational Research projects planned by the State</t>
  </si>
  <si>
    <t>Number submitted for approval/ already approved? (Yes/No)</t>
  </si>
  <si>
    <t>Section-A – General Information about the State</t>
  </si>
  <si>
    <t>Existing</t>
  </si>
  <si>
    <t>Additional planned for next year</t>
  </si>
  <si>
    <t>Number of Districts With DTC</t>
  </si>
  <si>
    <t>Name of the District</t>
  </si>
  <si>
    <t>Population (in Lakhs)</t>
  </si>
  <si>
    <t>No. of TUs</t>
  </si>
  <si>
    <t>No. of DMCs</t>
  </si>
  <si>
    <t>Govt</t>
  </si>
  <si>
    <t>NGO</t>
  </si>
  <si>
    <t>Public Sector*</t>
  </si>
  <si>
    <t>Private Sector^</t>
  </si>
  <si>
    <t>STATE TOTAL</t>
  </si>
  <si>
    <t>Organization of Services:</t>
  </si>
  <si>
    <t>Organization of TB-HIV &amp; PMDT services:</t>
  </si>
  <si>
    <t xml:space="preserve">Number of ART Centres </t>
  </si>
  <si>
    <t>Number of Link ART Centres</t>
  </si>
  <si>
    <t>Number of ICTCs</t>
  </si>
  <si>
    <t>Number of Facility Integrated ICTCs</t>
  </si>
  <si>
    <t>Number of the DRTB Centre</t>
  </si>
  <si>
    <t>Number of the Culture &amp; DST Laboratory</t>
  </si>
  <si>
    <t>Whether C-DST Lab is accredited</t>
  </si>
  <si>
    <t>Total number of patients put on treatment</t>
  </si>
  <si>
    <t>Annualized total case detection rate (per lakh pop)</t>
  </si>
  <si>
    <t>No of new smear positive cases put on treatment</t>
  </si>
  <si>
    <t>Annualized New smear positive case detection rate (per lakh pop)</t>
  </si>
  <si>
    <t>Success  rate for NSP cases detected in the last 4 corresponding quarters</t>
  </si>
  <si>
    <t>Plan for the next year</t>
  </si>
  <si>
    <t>Number of TB patients tested for HIV out of registered during previous 4 quarters</t>
  </si>
  <si>
    <t>No. of MDR TB suspects identified and subjected to C/DST *</t>
  </si>
  <si>
    <t>No. of TB patients registered on Cat IV / V regimen during the period*</t>
  </si>
  <si>
    <t>Annualized NSP CDR</t>
  </si>
  <si>
    <t xml:space="preserve">Success rate </t>
  </si>
  <si>
    <t xml:space="preserve">RNTCP performance indicators: </t>
  </si>
  <si>
    <t>S.No.</t>
  </si>
  <si>
    <t>Priority areas</t>
  </si>
  <si>
    <t>Activity planned under each priority area</t>
  </si>
  <si>
    <t>1 a)</t>
  </si>
  <si>
    <t>1 b)</t>
  </si>
  <si>
    <t>1 c)</t>
  </si>
  <si>
    <t>2 a)</t>
  </si>
  <si>
    <t>2 b)</t>
  </si>
  <si>
    <t>2 c)</t>
  </si>
  <si>
    <t>3 a)</t>
  </si>
  <si>
    <t>3 b)</t>
  </si>
  <si>
    <t>3 c)</t>
  </si>
  <si>
    <t>4 a)</t>
  </si>
  <si>
    <t>4 b)</t>
  </si>
  <si>
    <t xml:space="preserve">4 c) </t>
  </si>
  <si>
    <t>5 a)</t>
  </si>
  <si>
    <t>5 b)</t>
  </si>
  <si>
    <t>5 c)</t>
  </si>
  <si>
    <t xml:space="preserve">Section B – List Priority areas at the State level for achieving the objectives planned: </t>
  </si>
  <si>
    <r>
      <t xml:space="preserve"> </t>
    </r>
    <r>
      <rPr>
        <b/>
        <i/>
        <sz val="8"/>
        <color theme="1"/>
        <rFont val="Tahoma"/>
        <family val="2"/>
      </rPr>
      <t>Priority areas must be genuine, focused  and activities planned  to achve those must be executable.</t>
    </r>
  </si>
  <si>
    <t>S No</t>
  </si>
  <si>
    <t>Reason for inclusion in priority list</t>
  </si>
  <si>
    <t>Priority Districts for Supervision and Monitoring by State  during the next year</t>
  </si>
  <si>
    <t>All figures are actual number, except for population which is to be written in lakh</t>
  </si>
  <si>
    <t>Action Plan from districts should also be in district specific excel file.</t>
  </si>
  <si>
    <t>Norms in the NSP are indicative and should not be a limitation. In case of higher amount is budgeted, then proper justification will be required.</t>
  </si>
  <si>
    <t>State Government / Local Self Government Expenditure on TB Control</t>
  </si>
  <si>
    <t>Planned</t>
  </si>
  <si>
    <t>Unplanned</t>
  </si>
  <si>
    <t>Approved / Allocation</t>
  </si>
  <si>
    <t>Expenditure</t>
  </si>
  <si>
    <t>Expenditure (till Sep 2013)</t>
  </si>
  <si>
    <t>Section D: Summary of proposed budget for the State</t>
  </si>
  <si>
    <t xml:space="preserve">Budget estimate for the coming FY 2014 - 2015 (To be based on the planned activities and expenditure in Section C) </t>
  </si>
  <si>
    <t>Salary Norms per annum</t>
  </si>
  <si>
    <t>2012-13 (Existing)</t>
  </si>
  <si>
    <t>2013-14 (Proposed)</t>
  </si>
  <si>
    <t>Revised National TB Control Program</t>
  </si>
  <si>
    <t>Name of the State:</t>
  </si>
  <si>
    <t>Section-A – General Information about the District</t>
  </si>
  <si>
    <t>Slum / Urban Poor population</t>
  </si>
  <si>
    <t>Does the district have a DTC</t>
  </si>
  <si>
    <t>No of TB Units in the district</t>
  </si>
  <si>
    <t>No of BPMUs in the district under NRHM</t>
  </si>
  <si>
    <t>No of DRTB Centres in the district</t>
  </si>
  <si>
    <t>No of C&amp;DST Labs in the district</t>
  </si>
  <si>
    <t xml:space="preserve">No required as per the norms in the District </t>
  </si>
  <si>
    <t>C&amp;DST Lab (Select Facilities from Drop down menu)</t>
  </si>
  <si>
    <t>2. Laboratory materials</t>
  </si>
  <si>
    <t>Amount permissible as per the norms in the District</t>
  </si>
  <si>
    <t>3. Honorarium</t>
  </si>
  <si>
    <t>Honorarium for DOT providers TUs / District for Cat I patients (NEW)</t>
  </si>
  <si>
    <t>Honorarium for DOT providers in tribal TUs / District for Cat II patients (RETREATMENT)</t>
  </si>
  <si>
    <t>4. Advocacy, Communication and Social Mobilization</t>
  </si>
  <si>
    <t>Name of the Activity</t>
  </si>
  <si>
    <t>Number of Activities undertaken in 2012-13</t>
  </si>
  <si>
    <t>Number of Activities undertaken in 13-14 (till Sep 2013)</t>
  </si>
  <si>
    <t>Number of Activities Proposed in 2014-15</t>
  </si>
  <si>
    <t>Budget proposed for next FY 2014-15</t>
  </si>
  <si>
    <t>Community meeting</t>
  </si>
  <si>
    <t>Patient provider meeting</t>
  </si>
  <si>
    <t>School Activity</t>
  </si>
  <si>
    <t>Outreach Activity</t>
  </si>
  <si>
    <t>CME</t>
  </si>
  <si>
    <t>5. Equipment maintenance</t>
  </si>
  <si>
    <t>No actually present in the District</t>
  </si>
  <si>
    <t>6. Training</t>
  </si>
  <si>
    <t>7. Vehicle maintenance</t>
  </si>
  <si>
    <t>8. Vehicle hiring</t>
  </si>
  <si>
    <t xml:space="preserve">No permissible as per norms in the District </t>
  </si>
  <si>
    <t>9. Public-private Mix: (PP/NGO Support)</t>
  </si>
  <si>
    <t xml:space="preserve">No. actually present in the district </t>
  </si>
  <si>
    <t>10. Medical Colleges</t>
  </si>
  <si>
    <t>Number of Medical Colleges Present in the district</t>
  </si>
  <si>
    <t xml:space="preserve"> Physical performance in last 4 quarters</t>
  </si>
  <si>
    <t>No. of All TB patients diagnosed</t>
  </si>
  <si>
    <t>No. of slides examined</t>
  </si>
  <si>
    <t>No. of TB patients referred for treatment outside medical college</t>
  </si>
  <si>
    <t>Number of Meetings:</t>
  </si>
  <si>
    <t>STF Meetings organization</t>
  </si>
  <si>
    <t>ZTF Meeting organization</t>
  </si>
  <si>
    <t>NTF Meeting organization</t>
  </si>
  <si>
    <t>11. Office Operations (Miscellaneous)</t>
  </si>
  <si>
    <t>DOTS Plus Site</t>
  </si>
  <si>
    <t>12. Contractual services</t>
  </si>
  <si>
    <t>Any Operational Research projects planned (Yes/No)</t>
  </si>
  <si>
    <t>No</t>
  </si>
  <si>
    <t>Names of the drugs</t>
  </si>
  <si>
    <t>17. Procurement of equipment</t>
  </si>
  <si>
    <r>
      <rPr>
        <sz val="16"/>
        <color theme="1"/>
        <rFont val="Arial"/>
        <family val="2"/>
      </rPr>
      <t>DTC</t>
    </r>
    <r>
      <rPr>
        <sz val="11"/>
        <color theme="1"/>
        <rFont val="Arial"/>
        <family val="2"/>
      </rPr>
      <t>-Computer, modem, scanner, printer, UPS etc</t>
    </r>
  </si>
  <si>
    <t>Barcode Printer</t>
  </si>
  <si>
    <t>Video Conferencing Unit and arrangements</t>
  </si>
  <si>
    <t>Any Other</t>
  </si>
  <si>
    <t>18. Patient Support and Transportation charges</t>
  </si>
  <si>
    <t>19. Supervision and Monitoring</t>
  </si>
  <si>
    <t>Section D: Summary of proposed budget for the District</t>
  </si>
  <si>
    <t>20. Additionality Funds from Disease Pool funds -                                                                                                                                                Details of the activities for which Additionality Funds are proposed to be sought.</t>
  </si>
  <si>
    <t>Formulae</t>
  </si>
  <si>
    <t>General Information</t>
  </si>
  <si>
    <t>LCD System</t>
  </si>
  <si>
    <t>Civil Works C&amp;DST Lab</t>
  </si>
  <si>
    <t>Medical College C&amp;DST Lab</t>
  </si>
  <si>
    <t>2015-16</t>
  </si>
  <si>
    <t>2014-15</t>
  </si>
  <si>
    <t>per cartridge / test (budget for 10*300 days per machine)</t>
  </si>
  <si>
    <t>Not applicable</t>
  </si>
  <si>
    <t>LCD Projector</t>
  </si>
  <si>
    <t>Laptop</t>
  </si>
  <si>
    <t>15% of cost</t>
  </si>
  <si>
    <t>Estimated expenditure for the 2014-15</t>
  </si>
  <si>
    <t>Additional enrolment proposed for the 2014-15</t>
  </si>
  <si>
    <t>No actually present/Planned for 2014-15</t>
  </si>
  <si>
    <t>Estimated Expenditure for the 2014-15 for which plan is being submitted (in Rs.)</t>
  </si>
  <si>
    <t>Estimated Expenditure for the 2014-15 (Rs.)</t>
  </si>
  <si>
    <t>Estimated exenditure for the 2014-15</t>
  </si>
  <si>
    <t>No planned for 2014-15</t>
  </si>
  <si>
    <t>Estimated Expenditure for the 2014-15 for which plan is being submitted (Rs.)</t>
  </si>
  <si>
    <t>Expenditure planned for 2013-14</t>
  </si>
  <si>
    <t>Amount proposed for maintenance during 2013-14</t>
  </si>
  <si>
    <t>Amount proposed during 2013-14</t>
  </si>
  <si>
    <t>Expenditure (in Rs) planned for 2013-14</t>
  </si>
  <si>
    <t>Estimated expenditure for FY 2014-15</t>
  </si>
  <si>
    <t>Eligibiity</t>
  </si>
  <si>
    <t>DMCs with Rapid Diagnostics /CBNAAT</t>
  </si>
  <si>
    <t>Justifications /Remarks</t>
  </si>
  <si>
    <t xml:space="preserve">No already upgraded/ to be upgraded in current FY </t>
  </si>
  <si>
    <t>Specimen processed / Slides examined</t>
  </si>
  <si>
    <t>Amount spent</t>
  </si>
  <si>
    <t>Specimen / Slide to be examined</t>
  </si>
  <si>
    <t>Budget proposed for 2014-15</t>
  </si>
  <si>
    <t>Amount proposed</t>
  </si>
  <si>
    <t>Performance in the last 4 quarters (in Rs.)</t>
  </si>
  <si>
    <t>Amount available in this head (Opening balance+ released by the state) (2012-13)</t>
  </si>
  <si>
    <t>Amount spent by district (2012-13)</t>
  </si>
  <si>
    <t>Approved ACSM Plan for 2013-14</t>
  </si>
  <si>
    <t>Amount spent in 2013-14 (till Sep 2013)</t>
  </si>
  <si>
    <t>Justifications / Remarks</t>
  </si>
  <si>
    <t>No. of personnel trained in last 4 quarters</t>
  </si>
  <si>
    <t>No.  / Amount permissible as per the norms</t>
  </si>
  <si>
    <t>Amount spent till Sep 2013</t>
  </si>
  <si>
    <t>Contractual Staff: Medical colleges</t>
  </si>
  <si>
    <t>No. of existing contractual post under RNTCP</t>
  </si>
  <si>
    <t>No. of contractual posts to be continued</t>
  </si>
  <si>
    <t>No. of additional posts for next year</t>
  </si>
  <si>
    <t>Amount spent in 2013-14 (till Sep 13)</t>
  </si>
  <si>
    <t>No. of non-DMC PHI</t>
  </si>
  <si>
    <t>Justification - Major New activities proposed</t>
  </si>
  <si>
    <t>Clearly mention - Why this is crucial for TB Control.</t>
  </si>
  <si>
    <t>Approved amount for FY 2013-14</t>
  </si>
  <si>
    <t>Under Municipal corporation/council/Cantonment board / Other</t>
  </si>
  <si>
    <t>Additional plan in        2015-16</t>
  </si>
  <si>
    <t>Additional plan in         2016-17</t>
  </si>
  <si>
    <t>REVISED NATIONAL TB CONTROL PROGRAM (RNTCP)</t>
  </si>
  <si>
    <t>No. of DMCs with  CBNAAT / rapid molecuar test</t>
  </si>
  <si>
    <t>Amount permissible as per the norms to non-salaried dot provider</t>
  </si>
  <si>
    <t>At the rate of Rs. 1000 per patient upon completion or cure</t>
  </si>
  <si>
    <t>At the rate of Rs. 1500 per patient upon completion or cure</t>
  </si>
  <si>
    <t>Justification is required wherever, district is budgeting more than norm, approved amount for current year.</t>
  </si>
  <si>
    <t>No. of TB suspects examined in DMC</t>
  </si>
  <si>
    <t>No. of Sm+ve patients diagnosed</t>
  </si>
  <si>
    <t>No. of registered TB patients with known HIV status</t>
  </si>
  <si>
    <t>No. of Total TB pateints registered under RNTCP</t>
  </si>
  <si>
    <t>No. of TB patients notified from private / NGO sector</t>
  </si>
  <si>
    <t>No. of TB pateints initiated on Cat IV</t>
  </si>
  <si>
    <t>No. of TB pateints initiated on Cat V</t>
  </si>
  <si>
    <t>No. of MDRTB suspects subjected to C/&amp;DST</t>
  </si>
  <si>
    <t>Any other (specify)</t>
  </si>
  <si>
    <t>Performance Achieved</t>
  </si>
  <si>
    <t>Performance to be Achieved</t>
  </si>
  <si>
    <t>Districts to plan for the PPM ACSM Coordinator, and the post of Communication facilitator to be discontinued.</t>
  </si>
  <si>
    <t>Contractual Services</t>
  </si>
  <si>
    <t>Medical college Head:</t>
  </si>
  <si>
    <t>PP/NGO Head:</t>
  </si>
  <si>
    <t>PPM/ACSM Coordinator</t>
  </si>
  <si>
    <t>In case the bi-furcation of expenditure is not available for a particular activity, then the total expenditure of that head can be shown in appropriate cell.</t>
  </si>
  <si>
    <t>Guidelines to use the Action plan format:</t>
  </si>
  <si>
    <t>Treatment success rate among NSP (%)</t>
  </si>
  <si>
    <t>Treatment success rate among Retreatment Sm+ve (%)</t>
  </si>
  <si>
    <t>District Infrastructure</t>
  </si>
  <si>
    <t>District Performance</t>
  </si>
  <si>
    <t>First Line Drugs</t>
  </si>
  <si>
    <t>Transportation charges - actual travel  fare by public transport for MDR TB patient and 1 attendant for travel to DTC/DOTS Plus Site/IRL for follow up examination</t>
  </si>
  <si>
    <t>Residents &amp; interns</t>
  </si>
  <si>
    <t>( c)</t>
  </si>
  <si>
    <t>No. in the District</t>
  </si>
  <si>
    <t>RNTCP Training Plan</t>
  </si>
  <si>
    <t>Name of TU / Block</t>
  </si>
  <si>
    <t>Upgradation / Maintenance</t>
  </si>
  <si>
    <t>Remarks</t>
  </si>
  <si>
    <t>Basick maintenance of Rs. 100000 per lab &amp; Rs. 25000 per additional technology</t>
  </si>
  <si>
    <t>2 wheeler district PPM coordinator</t>
  </si>
  <si>
    <t>2 wheeler senior DR TB HIV supervisor</t>
  </si>
  <si>
    <t>Rs.2000/‐ per patient at completion of IP</t>
  </si>
  <si>
    <t>Rs.3000/‐ per patient at completion of CP</t>
  </si>
  <si>
    <t>Injection prick charges to non-salaried person during TB treatment</t>
  </si>
  <si>
    <t>Rs. 25 per injection prick</t>
  </si>
  <si>
    <t>Sr. no.</t>
  </si>
  <si>
    <t>Scheme involved</t>
  </si>
  <si>
    <t>1. In case of individual PPs involved in Adherance scheme, district may mention as aggregate.</t>
  </si>
  <si>
    <t>Work done (quantify wherever possible) (e.g. No. of Slides examined in DMC scheme, No. of TB patients with non-salaried dot provider</t>
  </si>
  <si>
    <t>3 Activities to promote PP/NGO involvement like PP/NGO Workshop, can also be proposed and budgetted.</t>
  </si>
  <si>
    <t>4. In case the NGO / PP yet to be identified for next year, district may mention "New Partner to be identified" in Column B.</t>
  </si>
  <si>
    <t>5. Mentioning names of partner, does not mean approval. The approval to be done following guidelines for individual schemes.</t>
  </si>
  <si>
    <t>Scheme continued / Proposed / Innovations proposed</t>
  </si>
  <si>
    <t xml:space="preserve"> Name of the NGO / PP / Corporate hospital / Partner / Chemist etc.</t>
  </si>
  <si>
    <t>2. There is a scope for piloting / innovations. Approval will be provided on case to case basis. District / State may proposed for same and mention as "Innovation" and provide details in justification. Separate proposal for innovation will be required with justification.</t>
  </si>
  <si>
    <t>Travel support to co-infected TB patients (+1 attendant) for first visit to ART Centre</t>
  </si>
  <si>
    <t>Patients from tribal / difficult to access areas on completion of treatment as travel cost support as an aggregate amount</t>
  </si>
  <si>
    <t>Travel support to co-infected TB patient for first visit to ART Centre</t>
  </si>
  <si>
    <t>for one visit of patient + 1 attendant to ART Centre as per actuals with public transport or rate approved by society</t>
  </si>
  <si>
    <t>upto Rs. 500</t>
  </si>
  <si>
    <t>Injection prick charges to non-salaried provider</t>
  </si>
  <si>
    <t>per injection prick for TB treatment</t>
  </si>
  <si>
    <t>TB Health Visitor (including FTA)</t>
  </si>
  <si>
    <t>NSP - Approved Indicative Norms</t>
  </si>
  <si>
    <t>cost to volunteer for sputum collection in tribal / difficult to access areas</t>
  </si>
  <si>
    <t>per sample to non-salaried person</t>
  </si>
  <si>
    <t>1st April 2015 to 31st March 2016</t>
  </si>
  <si>
    <t>District Population (in lakh) please give projected population for next year 2015-16</t>
  </si>
  <si>
    <t>Additional plan  2014-15 (will be made till 31st March 2015)</t>
  </si>
  <si>
    <t>2014 (till Sep 2014)</t>
  </si>
  <si>
    <t>Number Planned to be upgraded during 2015-16</t>
  </si>
  <si>
    <t>Estimated expenditure for FY 2015-16</t>
  </si>
  <si>
    <t>Procurement Planned during the 2014-15</t>
  </si>
  <si>
    <t>Proposed for 2015-16</t>
  </si>
  <si>
    <t>Expenditure planned for 2014-15</t>
  </si>
  <si>
    <t>Estimated expenditure for the 2015-16</t>
  </si>
  <si>
    <t>Utilized (till Sep 2014)</t>
  </si>
  <si>
    <t xml:space="preserve">Budget estimate for the coming FY 2015 - 2016 (To be based on the planned activities and expenditure in Section C) </t>
  </si>
  <si>
    <t>Progress FY 2014-15</t>
  </si>
  <si>
    <t>Proposed FY 2015-16</t>
  </si>
  <si>
    <t>Amount paid / to be paid for 20114-15</t>
  </si>
  <si>
    <t xml:space="preserve">As per the guidelines, the budget to be proposed for 2015-16 can have a rise of 15% each year; but in case a particular new activity is proposed, then additional budget over and above this limit may be proposed with proper justification. </t>
  </si>
  <si>
    <t>In case of any query / difficutly, send an email to  kumars@rntcp.org</t>
  </si>
  <si>
    <t>All the data for previous 4 last quarters means Oct 2014 to Sep 2015.</t>
  </si>
  <si>
    <t>Decentralization of Tuberculosis Units at block level or 1.5 to 2.5 lakh population to be considered in 2015-16. All new TUs to be planned in 2015-16 across the state.</t>
  </si>
  <si>
    <t xml:space="preserve">Budgets proposed for NGO/PP schemes will be as per new NGO/ PP Guidelines which has been circulated . </t>
  </si>
  <si>
    <r>
      <t xml:space="preserve">Under Honorarium head, the revised norms of Rs. 1000 for Cat I, Rs. 1500 for Cat II to be used for budgeting. </t>
    </r>
    <r>
      <rPr>
        <b/>
        <u/>
        <sz val="11"/>
        <color rgb="FF000000"/>
        <rFont val="Calibri"/>
        <family val="2"/>
        <scheme val="minor"/>
      </rPr>
      <t>Similarly patients from tribal areas / difficult to access areas, the norm for aggregate amount for travel support has been revised from Rs. 250 to Rs. 750  on completion of treatment. Similarly for MDR  &amp; XDR patients, this norm has been revised to double i.e. Rs. 5000 and to be used for budgeting purpose. Similarly, injection prick charges of Rs. 25 per prick to be provided, over and above the honorarium / incentive to non-salaried dot provider.</t>
    </r>
  </si>
  <si>
    <t>MDR TB and XDR TB suspects travel to DMC or sputum collection centre or DTC to be paid as per the actual with public transport. Similarly, travel cost to both MDR TB and XDR TB patients to DR-TB Centre or to district to be paid as per the actual with public transport.</t>
  </si>
  <si>
    <r>
      <t xml:space="preserve">Volunteer </t>
    </r>
    <r>
      <rPr>
        <b/>
        <strike/>
        <u/>
        <sz val="11"/>
        <color rgb="FFFF0000"/>
        <rFont val="Calibri"/>
        <family val="2"/>
        <scheme val="minor"/>
      </rPr>
      <t>in tribal areas / difficult to access areas</t>
    </r>
    <r>
      <rPr>
        <b/>
        <u/>
        <sz val="11"/>
        <color rgb="FFFF0000"/>
        <rFont val="Calibri"/>
        <family val="2"/>
        <scheme val="minor"/>
      </rPr>
      <t xml:space="preserve"> </t>
    </r>
    <r>
      <rPr>
        <b/>
        <u/>
        <sz val="11"/>
        <color rgb="FF000000"/>
        <rFont val="Calibri"/>
        <family val="2"/>
        <scheme val="minor"/>
      </rPr>
      <t>to be paid Rs. 25 per sample transported to DMC. Similarly a provision of travel expenses of upto Rs. 500 as per acutals by public transport or rates fixed by society can be provided to co-infected (TB+HIV) patients (+ one attendant) for first visit for ART Centre.</t>
    </r>
  </si>
  <si>
    <t>Vehicle hiring cost for transportation of drugs from district drug store to TU drug store to be included in the Office Operation.</t>
  </si>
  <si>
    <t xml:space="preserve">Training cost for ASHA or community DOT providers to be considered similar to paramedical staff. Training costs should include cost of hiring vehicle for field visit during training and audio visual aids. </t>
  </si>
  <si>
    <r>
      <t>Research proposals through task force mechanisms to be considered under Medical College Head. Research proposal other than from medical colleges to be considered under Research &amp; Studies &amp; Consultancy. Research proposals upto 5 lakhs may be approved by OR Committee of the STCS</t>
    </r>
    <r>
      <rPr>
        <sz val="8"/>
        <color theme="1"/>
        <rFont val="Calibri"/>
        <family val="2"/>
        <scheme val="minor"/>
      </rPr>
      <t> </t>
    </r>
    <r>
      <rPr>
        <sz val="11"/>
        <color rgb="FFFF0000"/>
        <rFont val="Calibri"/>
        <family val="2"/>
        <scheme val="minor"/>
      </rPr>
      <t>.</t>
    </r>
  </si>
  <si>
    <t>All TB patients residing in notified tribal area (as per tribal department) to be provided amount of Rs. 750 under patients support.</t>
  </si>
  <si>
    <r>
      <t> </t>
    </r>
    <r>
      <rPr>
        <sz val="10"/>
        <color theme="1"/>
        <rFont val="Calibri"/>
        <family val="2"/>
        <scheme val="minor"/>
      </rPr>
      <t>OR committee of STCS??</t>
    </r>
  </si>
  <si>
    <t>The Action plan should be filled in excel. Only shaded (Pink) cell should be filled in. Wherever the drop down menu is available, the same should be used. The formulae should not be disturbed / deleted in any cell. In case the cell changes its colour to red, re-assess the figures entered, and if it is justified, then do not worry about red colour. The hard copy should have print out of District, priority areas, organization of services, Contractual staff, RNTC training sheets. Save the file with same name - replacing the District word with name of your district. e.g. Action Plan Part III RNTCP Nalanda - 2nd Dec 2013</t>
  </si>
</sst>
</file>

<file path=xl/styles.xml><?xml version="1.0" encoding="utf-8"?>
<styleSheet xmlns="http://schemas.openxmlformats.org/spreadsheetml/2006/main" xmlns:mc="http://schemas.openxmlformats.org/markup-compatibility/2006" xmlns:x14ac="http://schemas.microsoft.com/office/spreadsheetml/2009/9/ac" mc:Ignorable="x14ac">
  <fonts count="79"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Arial"/>
      <family val="2"/>
    </font>
    <font>
      <b/>
      <sz val="12"/>
      <color theme="1"/>
      <name val="Calibri"/>
      <family val="2"/>
      <scheme val="minor"/>
    </font>
    <font>
      <b/>
      <sz val="14"/>
      <name val="Arial"/>
      <family val="2"/>
    </font>
    <font>
      <sz val="12"/>
      <name val="Arial"/>
      <family val="2"/>
    </font>
    <font>
      <b/>
      <sz val="12"/>
      <name val="Arial"/>
      <family val="2"/>
    </font>
    <font>
      <sz val="12"/>
      <color theme="1"/>
      <name val="Arial"/>
      <family val="2"/>
    </font>
    <font>
      <b/>
      <sz val="14"/>
      <color theme="0"/>
      <name val="Arial"/>
      <family val="2"/>
    </font>
    <font>
      <b/>
      <sz val="11"/>
      <name val="Arial"/>
      <family val="2"/>
    </font>
    <font>
      <b/>
      <sz val="10"/>
      <name val="Arial"/>
      <family val="2"/>
    </font>
    <font>
      <sz val="10"/>
      <name val="Arial"/>
      <family val="2"/>
    </font>
    <font>
      <b/>
      <sz val="10"/>
      <color rgb="FF00B050"/>
      <name val="Arial"/>
      <family val="2"/>
    </font>
    <font>
      <b/>
      <sz val="11"/>
      <name val="Calibri"/>
      <family val="2"/>
      <scheme val="minor"/>
    </font>
    <font>
      <b/>
      <sz val="14"/>
      <color theme="1"/>
      <name val="Calibri"/>
      <family val="2"/>
      <scheme val="minor"/>
    </font>
    <font>
      <b/>
      <sz val="11"/>
      <color theme="1"/>
      <name val="Arial"/>
      <family val="2"/>
    </font>
    <font>
      <b/>
      <sz val="11"/>
      <color rgb="FF00B050"/>
      <name val="Arial"/>
      <family val="2"/>
    </font>
    <font>
      <sz val="11"/>
      <color theme="1"/>
      <name val="Arial"/>
      <family val="2"/>
    </font>
    <font>
      <sz val="11"/>
      <name val="Arial"/>
      <family val="2"/>
    </font>
    <font>
      <sz val="11"/>
      <color theme="1"/>
      <name val="Times New Roman"/>
      <family val="1"/>
    </font>
    <font>
      <b/>
      <sz val="14"/>
      <color rgb="FF00B050"/>
      <name val="Arial"/>
      <family val="2"/>
    </font>
    <font>
      <b/>
      <sz val="12"/>
      <color rgb="FF00B050"/>
      <name val="Arial"/>
      <family val="2"/>
    </font>
    <font>
      <sz val="14"/>
      <color theme="1"/>
      <name val="Calibri"/>
      <family val="2"/>
      <scheme val="minor"/>
    </font>
    <font>
      <sz val="10"/>
      <color theme="1"/>
      <name val="Arial"/>
      <family val="2"/>
    </font>
    <font>
      <b/>
      <sz val="8"/>
      <color theme="1"/>
      <name val="Tahoma"/>
      <family val="2"/>
    </font>
    <font>
      <b/>
      <sz val="11"/>
      <color rgb="FF00B050"/>
      <name val="Calibri"/>
      <family val="2"/>
      <scheme val="minor"/>
    </font>
    <font>
      <sz val="11"/>
      <name val="Calibri"/>
      <family val="2"/>
      <scheme val="minor"/>
    </font>
    <font>
      <b/>
      <sz val="11"/>
      <color theme="1"/>
      <name val="Tahoma"/>
      <family val="2"/>
    </font>
    <font>
      <sz val="7"/>
      <name val="Arial"/>
      <family val="2"/>
    </font>
    <font>
      <sz val="12"/>
      <color theme="1"/>
      <name val="Calibri"/>
      <family val="2"/>
      <scheme val="minor"/>
    </font>
    <font>
      <sz val="16"/>
      <color theme="1"/>
      <name val="Arial"/>
      <family val="2"/>
    </font>
    <font>
      <sz val="18"/>
      <color theme="1"/>
      <name val="Arial"/>
      <family val="2"/>
    </font>
    <font>
      <b/>
      <sz val="16"/>
      <color theme="1"/>
      <name val="Calibri"/>
      <family val="2"/>
      <scheme val="minor"/>
    </font>
    <font>
      <b/>
      <sz val="9"/>
      <color rgb="FF000000"/>
      <name val="Calibri"/>
      <family val="2"/>
    </font>
    <font>
      <sz val="9"/>
      <color theme="1"/>
      <name val="Calibri"/>
      <family val="2"/>
      <scheme val="minor"/>
    </font>
    <font>
      <b/>
      <sz val="9"/>
      <color theme="1"/>
      <name val="Calibri"/>
      <family val="2"/>
      <scheme val="minor"/>
    </font>
    <font>
      <sz val="8"/>
      <color theme="1"/>
      <name val="Tahoma"/>
      <family val="2"/>
    </font>
    <font>
      <sz val="11"/>
      <color rgb="FFFF0000"/>
      <name val="Times New Roman"/>
      <family val="1"/>
    </font>
    <font>
      <sz val="8"/>
      <color rgb="FFFF0000"/>
      <name val="Tahoma"/>
      <family val="2"/>
    </font>
    <font>
      <b/>
      <sz val="10"/>
      <color theme="1"/>
      <name val="Arial"/>
      <family val="2"/>
    </font>
    <font>
      <sz val="11"/>
      <color theme="0"/>
      <name val="Calibri"/>
      <family val="2"/>
      <scheme val="minor"/>
    </font>
    <font>
      <b/>
      <sz val="9"/>
      <color rgb="FF00B050"/>
      <name val="Arial"/>
      <family val="2"/>
    </font>
    <font>
      <sz val="10"/>
      <color indexed="8"/>
      <name val="MS Sans Serif"/>
      <family val="2"/>
    </font>
    <font>
      <sz val="12"/>
      <color indexed="8"/>
      <name val="Calibri"/>
      <family val="2"/>
      <scheme val="minor"/>
    </font>
    <font>
      <sz val="12"/>
      <name val="Calibri"/>
      <family val="2"/>
      <scheme val="minor"/>
    </font>
    <font>
      <sz val="12"/>
      <color rgb="FF000000"/>
      <name val="Calibri"/>
      <family val="2"/>
      <scheme val="minor"/>
    </font>
    <font>
      <b/>
      <sz val="14"/>
      <color theme="1"/>
      <name val="Arial"/>
      <family val="2"/>
    </font>
    <font>
      <sz val="10"/>
      <color theme="1"/>
      <name val="Calibri"/>
      <family val="2"/>
      <scheme val="minor"/>
    </font>
    <font>
      <b/>
      <sz val="8"/>
      <name val="Arial"/>
      <family val="2"/>
    </font>
    <font>
      <sz val="7"/>
      <color theme="1"/>
      <name val="Times New Roman"/>
      <family val="1"/>
    </font>
    <font>
      <sz val="9"/>
      <color indexed="81"/>
      <name val="Tahoma"/>
      <family val="2"/>
    </font>
    <font>
      <b/>
      <sz val="9"/>
      <color indexed="81"/>
      <name val="Tahoma"/>
      <family val="2"/>
    </font>
    <font>
      <sz val="12"/>
      <color theme="1"/>
      <name val="Times New Roman"/>
      <family val="1"/>
    </font>
    <font>
      <b/>
      <i/>
      <u/>
      <sz val="12"/>
      <name val="Times New Roman"/>
      <family val="1"/>
    </font>
    <font>
      <b/>
      <i/>
      <sz val="14"/>
      <color theme="1"/>
      <name val="Tahoma"/>
      <family val="2"/>
    </font>
    <font>
      <b/>
      <i/>
      <sz val="8"/>
      <color theme="1"/>
      <name val="Tahoma"/>
      <family val="2"/>
    </font>
    <font>
      <b/>
      <i/>
      <u/>
      <sz val="12"/>
      <color theme="1"/>
      <name val="Times New Roman"/>
      <family val="1"/>
    </font>
    <font>
      <b/>
      <i/>
      <sz val="12"/>
      <color theme="1"/>
      <name val="Times New Roman"/>
      <family val="1"/>
    </font>
    <font>
      <sz val="11"/>
      <color rgb="FF00B050"/>
      <name val="Arial"/>
      <family val="2"/>
    </font>
    <font>
      <b/>
      <sz val="8"/>
      <name val="Calibri"/>
      <family val="2"/>
      <scheme val="minor"/>
    </font>
    <font>
      <b/>
      <sz val="14"/>
      <color theme="1"/>
      <name val="Tahoma"/>
      <family val="2"/>
    </font>
    <font>
      <b/>
      <sz val="11"/>
      <color theme="0"/>
      <name val="Calibri"/>
      <family val="2"/>
      <scheme val="minor"/>
    </font>
    <font>
      <b/>
      <sz val="12"/>
      <color theme="0"/>
      <name val="Times New Roman"/>
      <family val="1"/>
    </font>
    <font>
      <b/>
      <sz val="12"/>
      <color theme="0"/>
      <name val="Calibri"/>
      <family val="2"/>
      <scheme val="minor"/>
    </font>
    <font>
      <b/>
      <sz val="12"/>
      <color theme="0"/>
      <name val="Tahoma"/>
      <family val="2"/>
    </font>
    <font>
      <b/>
      <sz val="9"/>
      <color theme="0"/>
      <name val="Calibri"/>
      <family val="2"/>
    </font>
    <font>
      <b/>
      <sz val="12"/>
      <color theme="0"/>
      <name val="Calibri"/>
      <family val="2"/>
    </font>
    <font>
      <sz val="9"/>
      <color theme="0"/>
      <name val="Calibri"/>
      <family val="2"/>
      <scheme val="minor"/>
    </font>
    <font>
      <b/>
      <sz val="9"/>
      <color theme="0"/>
      <name val="Calibri"/>
      <family val="2"/>
      <scheme val="minor"/>
    </font>
    <font>
      <strike/>
      <sz val="12"/>
      <color theme="1"/>
      <name val="Calibri"/>
      <family val="2"/>
      <scheme val="minor"/>
    </font>
    <font>
      <sz val="11"/>
      <color rgb="FFFF0000"/>
      <name val="Calibri"/>
      <family val="2"/>
      <scheme val="minor"/>
    </font>
    <font>
      <sz val="11"/>
      <color rgb="FFFFFFFF"/>
      <name val="Calibri"/>
      <family val="2"/>
      <scheme val="minor"/>
    </font>
    <font>
      <b/>
      <sz val="11"/>
      <color rgb="FFFFFFFF"/>
      <name val="Calibri"/>
      <family val="2"/>
      <scheme val="minor"/>
    </font>
    <font>
      <sz val="11"/>
      <color rgb="FF000000"/>
      <name val="Calibri"/>
      <family val="2"/>
      <scheme val="minor"/>
    </font>
    <font>
      <b/>
      <u/>
      <sz val="11"/>
      <color rgb="FF000000"/>
      <name val="Calibri"/>
      <family val="2"/>
      <scheme val="minor"/>
    </font>
    <font>
      <b/>
      <strike/>
      <u/>
      <sz val="11"/>
      <color rgb="FFFF0000"/>
      <name val="Calibri"/>
      <family val="2"/>
      <scheme val="minor"/>
    </font>
    <font>
      <b/>
      <u/>
      <sz val="11"/>
      <color rgb="FFFF0000"/>
      <name val="Calibri"/>
      <family val="2"/>
      <scheme val="minor"/>
    </font>
    <font>
      <sz val="8"/>
      <color theme="1"/>
      <name val="Calibri"/>
      <family val="2"/>
      <scheme val="minor"/>
    </font>
  </fonts>
  <fills count="17">
    <fill>
      <patternFill patternType="none"/>
    </fill>
    <fill>
      <patternFill patternType="gray125"/>
    </fill>
    <fill>
      <patternFill patternType="solid">
        <fgColor theme="9" tint="0.59999389629810485"/>
        <bgColor indexed="64"/>
      </patternFill>
    </fill>
    <fill>
      <patternFill patternType="solid">
        <fgColor rgb="FFFFFF00"/>
        <bgColor indexed="64"/>
      </patternFill>
    </fill>
    <fill>
      <patternFill patternType="solid">
        <fgColor theme="0" tint="-0.34998626667073579"/>
        <bgColor indexed="64"/>
      </patternFill>
    </fill>
    <fill>
      <patternFill patternType="solid">
        <fgColor theme="3" tint="0.39997558519241921"/>
        <bgColor indexed="64"/>
      </patternFill>
    </fill>
    <fill>
      <patternFill patternType="solid">
        <fgColor rgb="FF92D050"/>
        <bgColor indexed="64"/>
      </patternFill>
    </fill>
    <fill>
      <patternFill patternType="solid">
        <fgColor theme="3" tint="0.59999389629810485"/>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theme="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4"/>
        <bgColor indexed="64"/>
      </patternFill>
    </fill>
    <fill>
      <patternFill patternType="solid">
        <fgColor theme="0" tint="-4.9989318521683403E-2"/>
        <bgColor indexed="64"/>
      </patternFill>
    </fill>
    <fill>
      <patternFill patternType="solid">
        <fgColor rgb="FF4F81BD"/>
        <bgColor indexed="64"/>
      </patternFill>
    </fill>
    <fill>
      <patternFill patternType="solid">
        <fgColor rgb="FFFFFFFF"/>
        <bgColor indexed="64"/>
      </patternFill>
    </fill>
  </fills>
  <borders count="8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right style="medium">
        <color indexed="64"/>
      </right>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medium">
        <color indexed="64"/>
      </left>
      <right style="thin">
        <color indexed="64"/>
      </right>
      <top style="thin">
        <color indexed="64"/>
      </top>
      <bottom/>
      <diagonal/>
    </border>
    <border>
      <left style="thin">
        <color indexed="64"/>
      </left>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bottom/>
      <diagonal/>
    </border>
    <border>
      <left style="medium">
        <color indexed="64"/>
      </left>
      <right style="thin">
        <color indexed="64"/>
      </right>
      <top/>
      <bottom/>
      <diagonal/>
    </border>
    <border>
      <left style="thin">
        <color indexed="64"/>
      </left>
      <right style="medium">
        <color indexed="64"/>
      </right>
      <top/>
      <bottom/>
      <diagonal/>
    </border>
    <border>
      <left/>
      <right style="thin">
        <color indexed="64"/>
      </right>
      <top/>
      <bottom style="medium">
        <color indexed="64"/>
      </bottom>
      <diagonal/>
    </border>
    <border>
      <left style="medium">
        <color indexed="64"/>
      </left>
      <right/>
      <top style="thin">
        <color indexed="64"/>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style="thin">
        <color indexed="64"/>
      </right>
      <top/>
      <bottom style="medium">
        <color indexed="64"/>
      </bottom>
      <diagonal/>
    </border>
    <border>
      <left style="medium">
        <color indexed="64"/>
      </left>
      <right/>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indexed="64"/>
      </left>
      <right style="medium">
        <color indexed="64"/>
      </right>
      <top/>
      <bottom/>
      <diagonal/>
    </border>
  </borders>
  <cellStyleXfs count="4">
    <xf numFmtId="0" fontId="0" fillId="0" borderId="0"/>
    <xf numFmtId="9" fontId="1" fillId="0" borderId="0" applyFont="0" applyFill="0" applyBorder="0" applyAlignment="0" applyProtection="0"/>
    <xf numFmtId="0" fontId="1" fillId="0" borderId="0"/>
    <xf numFmtId="0" fontId="43" fillId="0" borderId="0"/>
  </cellStyleXfs>
  <cellXfs count="2062">
    <xf numFmtId="0" fontId="0" fillId="0" borderId="0" xfId="0"/>
    <xf numFmtId="0" fontId="4" fillId="0" borderId="1" xfId="0" applyFont="1" applyBorder="1" applyAlignment="1">
      <alignment horizontal="center"/>
    </xf>
    <xf numFmtId="0" fontId="3" fillId="0" borderId="1" xfId="0" applyFont="1" applyBorder="1" applyAlignment="1">
      <alignment horizontal="left" vertical="center" wrapText="1"/>
    </xf>
    <xf numFmtId="1" fontId="0" fillId="0" borderId="1" xfId="0" applyNumberFormat="1" applyBorder="1" applyAlignment="1">
      <alignment horizontal="center" vertical="center" wrapText="1"/>
    </xf>
    <xf numFmtId="1" fontId="0" fillId="0" borderId="1" xfId="0" applyNumberFormat="1" applyBorder="1"/>
    <xf numFmtId="0" fontId="4" fillId="0" borderId="1" xfId="0" applyFont="1" applyFill="1" applyBorder="1" applyAlignment="1">
      <alignment horizontal="center"/>
    </xf>
    <xf numFmtId="0" fontId="0" fillId="0" borderId="0" xfId="0" applyBorder="1"/>
    <xf numFmtId="0" fontId="0" fillId="0" borderId="0" xfId="0" applyBorder="1" applyAlignment="1">
      <alignment horizontal="center" wrapText="1"/>
    </xf>
    <xf numFmtId="0" fontId="2" fillId="0" borderId="1" xfId="0" applyFont="1" applyBorder="1" applyAlignment="1">
      <alignment horizontal="center" vertical="center"/>
    </xf>
    <xf numFmtId="0" fontId="0" fillId="0" borderId="0" xfId="0" applyFill="1" applyBorder="1"/>
    <xf numFmtId="0" fontId="0" fillId="0" borderId="6" xfId="0" applyBorder="1"/>
    <xf numFmtId="0" fontId="0" fillId="0" borderId="7" xfId="0" applyBorder="1"/>
    <xf numFmtId="0" fontId="7" fillId="0" borderId="0" xfId="0" applyFont="1" applyFill="1" applyBorder="1" applyAlignment="1">
      <alignment vertical="center" wrapText="1"/>
    </xf>
    <xf numFmtId="0" fontId="0" fillId="0" borderId="0" xfId="0" applyBorder="1" applyAlignment="1">
      <alignment horizontal="center" vertical="center"/>
    </xf>
    <xf numFmtId="0" fontId="0" fillId="0" borderId="0" xfId="0" applyBorder="1" applyAlignment="1">
      <alignment horizontal="center" vertical="center" wrapText="1"/>
    </xf>
    <xf numFmtId="0" fontId="0" fillId="0" borderId="0" xfId="0" applyAlignment="1">
      <alignment horizontal="center" vertical="center" wrapText="1"/>
    </xf>
    <xf numFmtId="0" fontId="14" fillId="0" borderId="1" xfId="0" applyFont="1" applyBorder="1" applyAlignment="1">
      <alignment horizontal="center" vertical="center" wrapText="1"/>
    </xf>
    <xf numFmtId="1" fontId="13" fillId="0" borderId="1" xfId="0" applyNumberFormat="1" applyFont="1" applyBorder="1" applyAlignment="1">
      <alignment horizontal="center" vertical="center" wrapText="1"/>
    </xf>
    <xf numFmtId="0" fontId="0" fillId="0" borderId="11" xfId="0" applyFont="1" applyFill="1" applyBorder="1" applyAlignment="1">
      <alignment horizontal="center" vertical="center" wrapText="1"/>
    </xf>
    <xf numFmtId="0" fontId="14" fillId="0" borderId="1" xfId="0" applyFont="1" applyBorder="1" applyAlignment="1">
      <alignment horizontal="center" vertical="center"/>
    </xf>
    <xf numFmtId="0" fontId="14" fillId="0" borderId="1" xfId="0" applyFont="1" applyFill="1" applyBorder="1" applyAlignment="1">
      <alignment horizontal="center" vertical="center"/>
    </xf>
    <xf numFmtId="1" fontId="14" fillId="0" borderId="1" xfId="0" applyNumberFormat="1" applyFont="1" applyBorder="1" applyAlignment="1">
      <alignment horizontal="center" vertical="center"/>
    </xf>
    <xf numFmtId="1" fontId="11" fillId="0" borderId="1" xfId="0" applyNumberFormat="1" applyFont="1" applyFill="1" applyBorder="1" applyAlignment="1">
      <alignment horizontal="center" vertical="center"/>
    </xf>
    <xf numFmtId="1" fontId="13" fillId="0" borderId="1" xfId="0" applyNumberFormat="1" applyFont="1" applyBorder="1" applyAlignment="1">
      <alignment horizontal="center" vertical="center"/>
    </xf>
    <xf numFmtId="1" fontId="13" fillId="7" borderId="1" xfId="0" applyNumberFormat="1" applyFont="1" applyFill="1" applyBorder="1" applyAlignment="1">
      <alignment horizontal="center" vertical="center"/>
    </xf>
    <xf numFmtId="0" fontId="0" fillId="7" borderId="1" xfId="0" applyFont="1" applyFill="1" applyBorder="1" applyAlignment="1">
      <alignment horizontal="center" vertical="center" wrapText="1"/>
    </xf>
    <xf numFmtId="0" fontId="0" fillId="7" borderId="1" xfId="0" applyFont="1" applyFill="1" applyBorder="1" applyAlignment="1">
      <alignment horizontal="center" vertical="center"/>
    </xf>
    <xf numFmtId="0" fontId="0" fillId="7" borderId="11" xfId="0" applyFont="1" applyFill="1" applyBorder="1" applyAlignment="1">
      <alignment horizontal="center" vertical="center" wrapText="1"/>
    </xf>
    <xf numFmtId="0" fontId="2" fillId="7" borderId="1" xfId="0" applyFont="1" applyFill="1" applyBorder="1" applyAlignment="1">
      <alignment horizontal="center" vertical="center"/>
    </xf>
    <xf numFmtId="9" fontId="2" fillId="7" borderId="1" xfId="1" applyFont="1" applyFill="1" applyBorder="1" applyAlignment="1">
      <alignment horizontal="center" vertical="center"/>
    </xf>
    <xf numFmtId="1" fontId="2" fillId="7" borderId="1" xfId="0" applyNumberFormat="1" applyFont="1" applyFill="1" applyBorder="1" applyAlignment="1">
      <alignment horizontal="center" vertical="center"/>
    </xf>
    <xf numFmtId="0" fontId="2" fillId="0" borderId="29" xfId="0" applyFont="1" applyBorder="1" applyAlignment="1">
      <alignment horizontal="center" vertical="center"/>
    </xf>
    <xf numFmtId="0" fontId="11" fillId="0" borderId="0" xfId="0" applyFont="1" applyBorder="1"/>
    <xf numFmtId="0" fontId="11" fillId="0" borderId="0" xfId="0" applyFont="1"/>
    <xf numFmtId="0" fontId="12" fillId="0" borderId="0" xfId="0" applyFont="1" applyFill="1" applyBorder="1" applyAlignment="1">
      <alignment horizontal="center" vertical="center" wrapText="1"/>
    </xf>
    <xf numFmtId="0" fontId="11" fillId="8" borderId="36" xfId="0" applyFont="1" applyFill="1" applyBorder="1" applyAlignment="1">
      <alignment horizontal="left"/>
    </xf>
    <xf numFmtId="0" fontId="11" fillId="8" borderId="36" xfId="0" applyFont="1" applyFill="1" applyBorder="1" applyAlignment="1">
      <alignment horizontal="center" vertical="center"/>
    </xf>
    <xf numFmtId="0" fontId="11" fillId="0" borderId="36" xfId="0" applyFont="1" applyBorder="1" applyAlignment="1">
      <alignment horizontal="center" vertical="center"/>
    </xf>
    <xf numFmtId="0" fontId="11" fillId="0" borderId="40" xfId="0" applyFont="1" applyBorder="1" applyAlignment="1">
      <alignment horizontal="center" vertical="center"/>
    </xf>
    <xf numFmtId="9" fontId="11" fillId="0" borderId="36" xfId="1" applyFont="1" applyBorder="1" applyAlignment="1">
      <alignment horizontal="center" vertical="center"/>
    </xf>
    <xf numFmtId="1" fontId="11" fillId="0" borderId="37" xfId="0" applyNumberFormat="1" applyFont="1" applyBorder="1" applyAlignment="1">
      <alignment horizontal="center" vertical="center"/>
    </xf>
    <xf numFmtId="0" fontId="11" fillId="0" borderId="0" xfId="0" applyFont="1" applyBorder="1" applyAlignment="1">
      <alignment horizontal="right"/>
    </xf>
    <xf numFmtId="0" fontId="11" fillId="0" borderId="0" xfId="0" applyFont="1" applyBorder="1" applyAlignment="1">
      <alignment horizontal="center"/>
    </xf>
    <xf numFmtId="0" fontId="11" fillId="0" borderId="0" xfId="0" applyFont="1" applyBorder="1" applyAlignment="1">
      <alignment horizontal="right" vertical="center"/>
    </xf>
    <xf numFmtId="0" fontId="11" fillId="0" borderId="0" xfId="0" applyFont="1" applyBorder="1" applyAlignment="1">
      <alignment horizontal="center" vertical="center"/>
    </xf>
    <xf numFmtId="9" fontId="11" fillId="0" borderId="0" xfId="1" applyFont="1" applyBorder="1" applyAlignment="1">
      <alignment horizontal="center" vertical="center"/>
    </xf>
    <xf numFmtId="1" fontId="11" fillId="0" borderId="0" xfId="0" applyNumberFormat="1" applyFont="1" applyBorder="1" applyAlignment="1">
      <alignment horizontal="center" vertical="center"/>
    </xf>
    <xf numFmtId="0" fontId="12" fillId="0" borderId="0" xfId="0" applyFont="1" applyBorder="1" applyAlignment="1">
      <alignment horizontal="center" wrapText="1"/>
    </xf>
    <xf numFmtId="0" fontId="0" fillId="0" borderId="0" xfId="0" applyBorder="1" applyAlignment="1">
      <alignment horizontal="center"/>
    </xf>
    <xf numFmtId="1" fontId="12" fillId="0" borderId="1" xfId="0" applyNumberFormat="1" applyFont="1" applyBorder="1" applyAlignment="1">
      <alignment horizontal="center" vertical="center"/>
    </xf>
    <xf numFmtId="1" fontId="11" fillId="0" borderId="1" xfId="0" applyNumberFormat="1" applyFont="1" applyBorder="1" applyAlignment="1">
      <alignment horizontal="center" vertical="center"/>
    </xf>
    <xf numFmtId="1" fontId="11" fillId="0" borderId="29" xfId="0" applyNumberFormat="1" applyFont="1" applyBorder="1" applyAlignment="1">
      <alignment horizontal="center" vertical="center"/>
    </xf>
    <xf numFmtId="9" fontId="11" fillId="0" borderId="36" xfId="1" applyFont="1" applyFill="1" applyBorder="1" applyAlignment="1">
      <alignment horizontal="center" vertical="center" wrapText="1"/>
    </xf>
    <xf numFmtId="0" fontId="2" fillId="0" borderId="0" xfId="0" applyFont="1" applyBorder="1"/>
    <xf numFmtId="0" fontId="16" fillId="0" borderId="0" xfId="0" applyFont="1" applyBorder="1" applyAlignment="1">
      <alignment horizontal="center" vertical="center"/>
    </xf>
    <xf numFmtId="1" fontId="18" fillId="0" borderId="29" xfId="0" applyNumberFormat="1" applyFont="1" applyBorder="1" applyAlignment="1">
      <alignment horizontal="center" vertical="center"/>
    </xf>
    <xf numFmtId="1" fontId="15" fillId="0" borderId="36" xfId="0" applyNumberFormat="1" applyFont="1" applyBorder="1" applyAlignment="1">
      <alignment horizontal="center"/>
    </xf>
    <xf numFmtId="9" fontId="5" fillId="0" borderId="36" xfId="1" applyFont="1" applyBorder="1" applyAlignment="1">
      <alignment horizontal="center" wrapText="1"/>
    </xf>
    <xf numFmtId="1" fontId="5" fillId="0" borderId="37" xfId="0" applyNumberFormat="1" applyFont="1" applyBorder="1" applyAlignment="1">
      <alignment horizontal="center" vertical="center" wrapText="1"/>
    </xf>
    <xf numFmtId="1" fontId="0" fillId="0" borderId="0" xfId="0" applyNumberFormat="1" applyBorder="1" applyAlignment="1">
      <alignment horizontal="center"/>
    </xf>
    <xf numFmtId="0" fontId="11" fillId="0" borderId="0" xfId="0" applyFont="1" applyBorder="1" applyAlignment="1">
      <alignment horizontal="center" wrapText="1"/>
    </xf>
    <xf numFmtId="0" fontId="11" fillId="0" borderId="0" xfId="0" applyFont="1" applyBorder="1" applyAlignment="1">
      <alignment horizontal="right" wrapText="1"/>
    </xf>
    <xf numFmtId="0" fontId="11" fillId="0" borderId="0" xfId="0" applyFont="1" applyBorder="1" applyAlignment="1">
      <alignment wrapText="1"/>
    </xf>
    <xf numFmtId="9" fontId="11" fillId="0" borderId="0" xfId="1" applyFont="1" applyBorder="1" applyAlignment="1">
      <alignment wrapText="1"/>
    </xf>
    <xf numFmtId="0" fontId="16" fillId="0" borderId="36" xfId="0" applyFont="1" applyBorder="1" applyAlignment="1">
      <alignment horizontal="center" vertical="center" wrapText="1"/>
    </xf>
    <xf numFmtId="0" fontId="20" fillId="0" borderId="41" xfId="0" applyFont="1" applyBorder="1" applyAlignment="1">
      <alignment vertical="center" wrapText="1"/>
    </xf>
    <xf numFmtId="0" fontId="10" fillId="0" borderId="0" xfId="0" applyFont="1" applyFill="1" applyBorder="1" applyAlignment="1">
      <alignment horizontal="center" vertical="center"/>
    </xf>
    <xf numFmtId="0" fontId="0" fillId="0" borderId="0" xfId="0" applyBorder="1" applyAlignment="1">
      <alignment horizontal="right"/>
    </xf>
    <xf numFmtId="0" fontId="18" fillId="0" borderId="6" xfId="0" applyFont="1" applyBorder="1"/>
    <xf numFmtId="0" fontId="19" fillId="0" borderId="6" xfId="0" applyFont="1" applyBorder="1" applyAlignment="1">
      <alignment vertical="center"/>
    </xf>
    <xf numFmtId="0" fontId="0" fillId="0" borderId="0" xfId="0" applyAlignment="1">
      <alignment wrapText="1"/>
    </xf>
    <xf numFmtId="0" fontId="0" fillId="0" borderId="0" xfId="0" applyBorder="1" applyAlignment="1">
      <alignment wrapText="1"/>
    </xf>
    <xf numFmtId="0" fontId="0" fillId="0" borderId="0" xfId="0" applyAlignment="1">
      <alignment horizontal="left"/>
    </xf>
    <xf numFmtId="0" fontId="5" fillId="0" borderId="0" xfId="0" applyFont="1" applyAlignment="1">
      <alignment horizontal="center" vertical="center"/>
    </xf>
    <xf numFmtId="0" fontId="5" fillId="0" borderId="0" xfId="0" applyFont="1" applyBorder="1" applyAlignment="1">
      <alignment horizontal="center" vertical="center"/>
    </xf>
    <xf numFmtId="0" fontId="17" fillId="0" borderId="23" xfId="0" applyFont="1" applyBorder="1" applyAlignment="1">
      <alignment vertical="center" wrapText="1"/>
    </xf>
    <xf numFmtId="0" fontId="17" fillId="0" borderId="0" xfId="0" applyFont="1" applyBorder="1" applyAlignment="1">
      <alignment vertical="center" wrapText="1"/>
    </xf>
    <xf numFmtId="0" fontId="0" fillId="0" borderId="0" xfId="0" applyBorder="1" applyAlignment="1">
      <alignment vertical="center" wrapText="1"/>
    </xf>
    <xf numFmtId="0" fontId="12" fillId="0" borderId="0" xfId="0" applyFont="1" applyBorder="1" applyAlignment="1">
      <alignment vertical="center" wrapText="1"/>
    </xf>
    <xf numFmtId="1" fontId="7" fillId="0" borderId="37" xfId="0" applyNumberFormat="1" applyFont="1" applyBorder="1" applyAlignment="1">
      <alignment horizontal="center" vertical="center"/>
    </xf>
    <xf numFmtId="0" fontId="7" fillId="0" borderId="0" xfId="0" applyFont="1" applyFill="1" applyBorder="1"/>
    <xf numFmtId="0" fontId="13" fillId="0" borderId="0" xfId="0" applyFont="1" applyFill="1" applyBorder="1" applyAlignment="1">
      <alignment horizontal="center" vertical="center"/>
    </xf>
    <xf numFmtId="0" fontId="7" fillId="0" borderId="0" xfId="0" applyFont="1" applyFill="1" applyBorder="1" applyAlignment="1">
      <alignment horizontal="center"/>
    </xf>
    <xf numFmtId="0" fontId="11" fillId="0" borderId="0" xfId="0" applyFont="1" applyFill="1" applyBorder="1" applyAlignment="1">
      <alignment horizontal="center"/>
    </xf>
    <xf numFmtId="9" fontId="11" fillId="0" borderId="0" xfId="1" applyFont="1" applyFill="1" applyBorder="1" applyAlignment="1">
      <alignment horizontal="center" vertical="center"/>
    </xf>
    <xf numFmtId="9" fontId="7" fillId="0" borderId="0" xfId="1" applyFont="1" applyFill="1" applyBorder="1" applyAlignment="1">
      <alignment horizontal="center" vertical="center"/>
    </xf>
    <xf numFmtId="1" fontId="11" fillId="0" borderId="0" xfId="0" applyNumberFormat="1" applyFont="1" applyFill="1" applyBorder="1" applyAlignment="1">
      <alignment horizontal="center" vertical="center"/>
    </xf>
    <xf numFmtId="0" fontId="11" fillId="0" borderId="0" xfId="0" applyFont="1" applyFill="1" applyBorder="1"/>
    <xf numFmtId="0" fontId="0" fillId="0" borderId="6" xfId="0" applyBorder="1" applyAlignment="1">
      <alignment horizontal="center"/>
    </xf>
    <xf numFmtId="0" fontId="12" fillId="0" borderId="6" xfId="0" applyFont="1" applyBorder="1" applyAlignment="1">
      <alignment vertical="center"/>
    </xf>
    <xf numFmtId="0" fontId="0" fillId="0" borderId="7" xfId="0" applyBorder="1" applyAlignment="1">
      <alignment horizontal="center"/>
    </xf>
    <xf numFmtId="0" fontId="0" fillId="0" borderId="8" xfId="0" applyBorder="1" applyAlignment="1">
      <alignment horizontal="center" vertical="center" wrapText="1"/>
    </xf>
    <xf numFmtId="9" fontId="0" fillId="0" borderId="5" xfId="1" applyFont="1" applyBorder="1" applyAlignment="1">
      <alignment horizontal="center" vertical="center"/>
    </xf>
    <xf numFmtId="1" fontId="0" fillId="0" borderId="29" xfId="0" applyNumberFormat="1" applyFill="1" applyBorder="1" applyAlignment="1">
      <alignment horizontal="center" vertical="center"/>
    </xf>
    <xf numFmtId="9" fontId="0" fillId="0" borderId="29" xfId="1" applyFont="1" applyFill="1" applyBorder="1" applyAlignment="1">
      <alignment horizontal="center" vertical="center"/>
    </xf>
    <xf numFmtId="1" fontId="0" fillId="0" borderId="14" xfId="0" applyNumberFormat="1" applyBorder="1" applyAlignment="1">
      <alignment horizontal="center" vertical="center"/>
    </xf>
    <xf numFmtId="1" fontId="0" fillId="0" borderId="29" xfId="0" applyNumberFormat="1" applyBorder="1" applyAlignment="1">
      <alignment horizontal="center" vertical="center"/>
    </xf>
    <xf numFmtId="1" fontId="22" fillId="0" borderId="36" xfId="0" applyNumberFormat="1" applyFont="1" applyBorder="1" applyAlignment="1">
      <alignment horizontal="center" vertical="center"/>
    </xf>
    <xf numFmtId="9" fontId="7" fillId="0" borderId="34" xfId="1" applyFont="1" applyBorder="1" applyAlignment="1">
      <alignment horizontal="center" vertical="center"/>
    </xf>
    <xf numFmtId="9" fontId="7" fillId="0" borderId="36" xfId="1" applyFont="1" applyBorder="1" applyAlignment="1">
      <alignment horizontal="center" vertical="center"/>
    </xf>
    <xf numFmtId="0" fontId="4" fillId="0" borderId="0" xfId="0" applyFont="1"/>
    <xf numFmtId="0" fontId="4" fillId="0" borderId="0" xfId="0" applyFont="1" applyBorder="1"/>
    <xf numFmtId="0" fontId="11" fillId="0" borderId="0" xfId="0" applyFont="1" applyFill="1" applyBorder="1" applyAlignment="1">
      <alignment horizontal="right"/>
    </xf>
    <xf numFmtId="0" fontId="0" fillId="0" borderId="0" xfId="0" applyFill="1" applyBorder="1" applyAlignment="1">
      <alignment horizontal="center" vertical="center" wrapText="1"/>
    </xf>
    <xf numFmtId="0" fontId="0" fillId="0" borderId="0" xfId="0" applyFill="1"/>
    <xf numFmtId="0" fontId="23" fillId="0" borderId="0" xfId="0" applyFont="1" applyBorder="1"/>
    <xf numFmtId="0" fontId="23" fillId="0" borderId="0" xfId="0" applyFont="1"/>
    <xf numFmtId="1" fontId="0" fillId="0" borderId="1" xfId="0" applyNumberFormat="1" applyBorder="1" applyAlignment="1">
      <alignment horizontal="center" vertical="center"/>
    </xf>
    <xf numFmtId="0" fontId="3" fillId="0" borderId="36" xfId="0" applyFont="1" applyBorder="1" applyAlignment="1">
      <alignment horizontal="center" vertical="center" wrapText="1"/>
    </xf>
    <xf numFmtId="0" fontId="7" fillId="0" borderId="0" xfId="0" applyFont="1" applyBorder="1"/>
    <xf numFmtId="0" fontId="13" fillId="0" borderId="0" xfId="0" applyFont="1" applyFill="1" applyBorder="1" applyAlignment="1">
      <alignment horizontal="center" vertical="center" wrapText="1"/>
    </xf>
    <xf numFmtId="9" fontId="0" fillId="0" borderId="0" xfId="1" applyFont="1" applyFill="1" applyBorder="1" applyAlignment="1">
      <alignment horizontal="center" vertical="center"/>
    </xf>
    <xf numFmtId="9" fontId="12" fillId="0" borderId="0" xfId="1" applyFont="1" applyBorder="1" applyAlignment="1">
      <alignment horizontal="center" vertical="center" wrapText="1"/>
    </xf>
    <xf numFmtId="0" fontId="0" fillId="0" borderId="13" xfId="0" applyFont="1" applyBorder="1" applyAlignment="1">
      <alignment horizontal="center" vertical="center" wrapText="1"/>
    </xf>
    <xf numFmtId="0" fontId="26" fillId="0" borderId="1" xfId="0" applyFont="1" applyFill="1" applyBorder="1" applyAlignment="1">
      <alignment horizontal="center" vertical="center" wrapText="1"/>
    </xf>
    <xf numFmtId="0" fontId="0" fillId="0" borderId="13" xfId="0" applyFont="1" applyBorder="1" applyAlignment="1">
      <alignment horizontal="left" vertical="center" wrapText="1"/>
    </xf>
    <xf numFmtId="1" fontId="0" fillId="8" borderId="1" xfId="0" applyNumberFormat="1" applyFont="1" applyFill="1" applyBorder="1" applyAlignment="1">
      <alignment horizontal="center" vertical="center" wrapText="1"/>
    </xf>
    <xf numFmtId="0" fontId="0" fillId="0" borderId="13" xfId="0" applyFont="1" applyBorder="1" applyAlignment="1">
      <alignment vertical="center" wrapText="1"/>
    </xf>
    <xf numFmtId="0" fontId="0" fillId="0" borderId="39" xfId="0" applyFont="1" applyBorder="1" applyAlignment="1">
      <alignment vertical="center" wrapText="1"/>
    </xf>
    <xf numFmtId="1" fontId="0" fillId="0" borderId="29" xfId="0" applyNumberFormat="1" applyFont="1" applyBorder="1" applyAlignment="1">
      <alignment horizontal="center" vertical="center" wrapText="1"/>
    </xf>
    <xf numFmtId="1" fontId="12" fillId="0" borderId="29" xfId="0" applyNumberFormat="1" applyFont="1" applyBorder="1" applyAlignment="1">
      <alignment horizontal="center" vertical="center"/>
    </xf>
    <xf numFmtId="1" fontId="2" fillId="0" borderId="36" xfId="0" applyNumberFormat="1" applyFont="1" applyBorder="1" applyAlignment="1">
      <alignment horizontal="center" vertical="center"/>
    </xf>
    <xf numFmtId="1" fontId="14" fillId="0" borderId="36" xfId="0" applyNumberFormat="1" applyFont="1" applyBorder="1" applyAlignment="1">
      <alignment horizontal="center" vertical="center"/>
    </xf>
    <xf numFmtId="9" fontId="14" fillId="0" borderId="36" xfId="1" applyFont="1" applyBorder="1" applyAlignment="1">
      <alignment horizontal="center" vertical="center"/>
    </xf>
    <xf numFmtId="1" fontId="14" fillId="0" borderId="37" xfId="0" applyNumberFormat="1" applyFont="1" applyBorder="1" applyAlignment="1">
      <alignment horizontal="center" vertical="center"/>
    </xf>
    <xf numFmtId="0" fontId="19" fillId="0" borderId="0" xfId="0" applyFont="1" applyBorder="1" applyAlignment="1">
      <alignment horizontal="left" vertical="center" wrapText="1"/>
    </xf>
    <xf numFmtId="1" fontId="19" fillId="0" borderId="0" xfId="0" applyNumberFormat="1" applyFont="1" applyBorder="1" applyAlignment="1">
      <alignment horizontal="center" vertical="center" wrapText="1"/>
    </xf>
    <xf numFmtId="0" fontId="19" fillId="5" borderId="1" xfId="0" applyFont="1" applyFill="1" applyBorder="1" applyAlignment="1">
      <alignment vertical="center" wrapText="1"/>
    </xf>
    <xf numFmtId="0" fontId="0" fillId="5" borderId="1" xfId="0" applyFill="1" applyBorder="1"/>
    <xf numFmtId="0" fontId="10" fillId="5" borderId="1" xfId="0" applyFont="1" applyFill="1" applyBorder="1" applyAlignment="1">
      <alignment horizontal="center" vertical="center" wrapText="1"/>
    </xf>
    <xf numFmtId="9" fontId="2" fillId="0" borderId="36" xfId="1" applyFont="1" applyBorder="1" applyAlignment="1">
      <alignment horizontal="center" vertical="center"/>
    </xf>
    <xf numFmtId="1" fontId="2" fillId="0" borderId="37" xfId="0" applyNumberFormat="1" applyFont="1" applyBorder="1" applyAlignment="1">
      <alignment horizontal="center" vertical="center"/>
    </xf>
    <xf numFmtId="0" fontId="0" fillId="0" borderId="30" xfId="0" applyBorder="1"/>
    <xf numFmtId="0" fontId="23" fillId="0" borderId="0" xfId="0" applyFont="1" applyBorder="1" applyAlignment="1">
      <alignment wrapText="1"/>
    </xf>
    <xf numFmtId="0" fontId="12" fillId="0" borderId="0" xfId="0" applyFont="1" applyFill="1" applyBorder="1" applyAlignment="1">
      <alignment horizontal="center" vertical="top" wrapText="1"/>
    </xf>
    <xf numFmtId="0" fontId="13" fillId="0" borderId="1" xfId="0" applyFont="1" applyFill="1" applyBorder="1" applyAlignment="1">
      <alignment horizontal="center" vertical="center" wrapText="1"/>
    </xf>
    <xf numFmtId="0" fontId="18" fillId="0" borderId="13" xfId="0" applyFont="1" applyBorder="1" applyAlignment="1">
      <alignment vertical="center" wrapText="1"/>
    </xf>
    <xf numFmtId="0" fontId="18" fillId="0" borderId="39" xfId="0" applyFont="1" applyBorder="1" applyAlignment="1">
      <alignment vertical="center" wrapText="1"/>
    </xf>
    <xf numFmtId="9" fontId="2" fillId="0" borderId="36" xfId="1" applyFont="1" applyFill="1" applyBorder="1" applyAlignment="1">
      <alignment horizontal="center" vertical="center"/>
    </xf>
    <xf numFmtId="0" fontId="11" fillId="0" borderId="0" xfId="0" applyFont="1" applyFill="1" applyBorder="1" applyAlignment="1">
      <alignment horizontal="center" vertical="center"/>
    </xf>
    <xf numFmtId="9" fontId="0" fillId="0" borderId="0" xfId="1" applyFont="1" applyFill="1" applyBorder="1" applyAlignment="1">
      <alignment horizontal="center"/>
    </xf>
    <xf numFmtId="9" fontId="0" fillId="0" borderId="59" xfId="1" applyFont="1" applyFill="1" applyBorder="1" applyAlignment="1">
      <alignment horizontal="center"/>
    </xf>
    <xf numFmtId="0" fontId="0" fillId="0" borderId="0" xfId="0" applyFill="1" applyBorder="1" applyAlignment="1">
      <alignment horizontal="center" vertical="center"/>
    </xf>
    <xf numFmtId="0" fontId="23" fillId="0" borderId="0" xfId="0" applyFont="1" applyBorder="1" applyAlignment="1">
      <alignment horizontal="center" vertical="center" wrapText="1"/>
    </xf>
    <xf numFmtId="0" fontId="23" fillId="0" borderId="0" xfId="0" applyFont="1" applyAlignment="1">
      <alignment horizontal="center" vertical="center" wrapText="1"/>
    </xf>
    <xf numFmtId="0" fontId="0" fillId="0" borderId="0" xfId="0" applyFill="1" applyBorder="1" applyAlignment="1">
      <alignment vertical="center" wrapText="1"/>
    </xf>
    <xf numFmtId="9" fontId="0" fillId="0" borderId="0" xfId="1" applyFont="1" applyFill="1" applyBorder="1" applyAlignment="1">
      <alignment horizontal="center" vertical="center" wrapText="1"/>
    </xf>
    <xf numFmtId="9" fontId="12" fillId="0" borderId="0" xfId="1" applyFont="1" applyFill="1" applyBorder="1" applyAlignment="1">
      <alignment horizontal="center" vertical="center"/>
    </xf>
    <xf numFmtId="1" fontId="12" fillId="0" borderId="0" xfId="0" applyNumberFormat="1" applyFont="1" applyFill="1" applyBorder="1" applyAlignment="1">
      <alignment horizontal="center" vertical="center"/>
    </xf>
    <xf numFmtId="0" fontId="0" fillId="0" borderId="13" xfId="0" applyBorder="1" applyAlignment="1">
      <alignment horizontal="center" vertical="top" wrapText="1"/>
    </xf>
    <xf numFmtId="0" fontId="28" fillId="5" borderId="13" xfId="0" applyFont="1" applyFill="1" applyBorder="1" applyAlignment="1">
      <alignment vertical="center" wrapText="1"/>
    </xf>
    <xf numFmtId="1" fontId="14" fillId="5" borderId="1" xfId="0" applyNumberFormat="1" applyFont="1" applyFill="1" applyBorder="1" applyAlignment="1">
      <alignment horizontal="center" vertical="center" wrapText="1"/>
    </xf>
    <xf numFmtId="0" fontId="16" fillId="0" borderId="0" xfId="0" applyFont="1" applyFill="1" applyBorder="1" applyAlignment="1">
      <alignment horizontal="right" vertical="center" wrapText="1"/>
    </xf>
    <xf numFmtId="1" fontId="0" fillId="0" borderId="0" xfId="0" applyNumberFormat="1" applyFill="1" applyBorder="1" applyAlignment="1">
      <alignment horizontal="center" vertical="center"/>
    </xf>
    <xf numFmtId="0" fontId="0" fillId="0" borderId="0" xfId="0" applyAlignment="1">
      <alignment horizontal="center"/>
    </xf>
    <xf numFmtId="9" fontId="0" fillId="2" borderId="29" xfId="1" applyFont="1" applyFill="1" applyBorder="1" applyAlignment="1">
      <alignment horizontal="center" vertical="center"/>
    </xf>
    <xf numFmtId="0" fontId="30" fillId="0" borderId="0" xfId="0" applyFont="1" applyBorder="1"/>
    <xf numFmtId="0" fontId="3" fillId="0" borderId="1" xfId="0" applyFont="1" applyBorder="1" applyAlignment="1">
      <alignment horizontal="center" vertical="center" wrapText="1"/>
    </xf>
    <xf numFmtId="9" fontId="30" fillId="0" borderId="1" xfId="1" applyFont="1" applyBorder="1" applyAlignment="1">
      <alignment horizontal="center" vertical="center"/>
    </xf>
    <xf numFmtId="0" fontId="3" fillId="0" borderId="29" xfId="0" applyFont="1" applyBorder="1" applyAlignment="1">
      <alignment horizontal="left" vertical="center" wrapText="1"/>
    </xf>
    <xf numFmtId="9" fontId="30" fillId="0" borderId="29" xfId="1" applyFont="1" applyBorder="1" applyAlignment="1">
      <alignment horizontal="center" vertical="center"/>
    </xf>
    <xf numFmtId="9" fontId="30" fillId="0" borderId="36" xfId="1" applyFont="1" applyBorder="1" applyAlignment="1">
      <alignment horizontal="center" vertical="center"/>
    </xf>
    <xf numFmtId="9" fontId="30" fillId="0" borderId="50" xfId="1" applyFont="1" applyBorder="1" applyAlignment="1">
      <alignment horizontal="center" vertical="center"/>
    </xf>
    <xf numFmtId="0" fontId="4" fillId="0" borderId="8" xfId="0" applyFont="1" applyBorder="1" applyAlignment="1">
      <alignment horizontal="center" vertical="center" wrapText="1"/>
    </xf>
    <xf numFmtId="0" fontId="0" fillId="2" borderId="1" xfId="0" applyFont="1" applyFill="1" applyBorder="1" applyAlignment="1">
      <alignment horizontal="center" vertical="center" wrapText="1"/>
    </xf>
    <xf numFmtId="0" fontId="0" fillId="2" borderId="1" xfId="0" applyFont="1" applyFill="1" applyBorder="1" applyAlignment="1">
      <alignment horizontal="center" vertical="center"/>
    </xf>
    <xf numFmtId="9" fontId="2" fillId="2" borderId="1" xfId="1" applyFont="1" applyFill="1" applyBorder="1" applyAlignment="1">
      <alignment horizontal="center" vertical="center"/>
    </xf>
    <xf numFmtId="0" fontId="0" fillId="0" borderId="5" xfId="0" applyFont="1" applyBorder="1" applyAlignment="1">
      <alignment horizontal="right" vertical="top" wrapText="1"/>
    </xf>
    <xf numFmtId="1" fontId="0" fillId="2" borderId="29" xfId="0" applyNumberFormat="1" applyFill="1" applyBorder="1" applyAlignment="1">
      <alignment horizontal="center" vertical="center"/>
    </xf>
    <xf numFmtId="1" fontId="24" fillId="2" borderId="1" xfId="0" applyNumberFormat="1" applyFont="1" applyFill="1" applyBorder="1" applyAlignment="1">
      <alignment horizontal="center" vertical="center" wrapText="1"/>
    </xf>
    <xf numFmtId="0" fontId="0" fillId="0" borderId="1" xfId="0" applyBorder="1"/>
    <xf numFmtId="1" fontId="24" fillId="2" borderId="29" xfId="0" applyNumberFormat="1" applyFont="1" applyFill="1" applyBorder="1" applyAlignment="1">
      <alignment horizontal="center" vertical="center" wrapText="1"/>
    </xf>
    <xf numFmtId="1" fontId="0" fillId="2" borderId="1" xfId="0" applyNumberFormat="1" applyFont="1" applyFill="1" applyBorder="1" applyAlignment="1">
      <alignment horizontal="center" vertical="center" wrapText="1"/>
    </xf>
    <xf numFmtId="0" fontId="0" fillId="0" borderId="1" xfId="0" applyBorder="1" applyAlignment="1">
      <alignment wrapText="1"/>
    </xf>
    <xf numFmtId="2" fontId="35" fillId="0" borderId="0" xfId="0" applyNumberFormat="1" applyFont="1" applyFill="1" applyBorder="1" applyAlignment="1" applyProtection="1">
      <alignment horizontal="left" vertical="top" wrapText="1"/>
    </xf>
    <xf numFmtId="2" fontId="36" fillId="0" borderId="0" xfId="0" applyNumberFormat="1" applyFont="1" applyFill="1" applyBorder="1" applyAlignment="1" applyProtection="1">
      <alignment horizontal="left" vertical="top" wrapText="1"/>
    </xf>
    <xf numFmtId="2" fontId="36" fillId="0" borderId="0" xfId="0" applyNumberFormat="1" applyFont="1" applyFill="1" applyBorder="1" applyAlignment="1" applyProtection="1">
      <alignment horizontal="center" vertical="top" wrapText="1"/>
    </xf>
    <xf numFmtId="0" fontId="37" fillId="0" borderId="1" xfId="0" applyFont="1" applyBorder="1" applyAlignment="1">
      <alignment vertical="center" wrapText="1"/>
    </xf>
    <xf numFmtId="0" fontId="38" fillId="0" borderId="1" xfId="0" applyFont="1" applyBorder="1" applyAlignment="1">
      <alignment vertical="center" wrapText="1"/>
    </xf>
    <xf numFmtId="0" fontId="39" fillId="0" borderId="1" xfId="0" applyFont="1" applyBorder="1" applyAlignment="1">
      <alignment vertical="center" wrapText="1"/>
    </xf>
    <xf numFmtId="0" fontId="4" fillId="0" borderId="13" xfId="0" applyFont="1" applyBorder="1" applyAlignment="1">
      <alignment horizontal="center" wrapText="1"/>
    </xf>
    <xf numFmtId="0" fontId="17" fillId="0" borderId="11" xfId="0" applyFont="1" applyBorder="1" applyAlignment="1">
      <alignment vertical="center" wrapText="1"/>
    </xf>
    <xf numFmtId="0" fontId="0" fillId="11" borderId="1" xfId="0" applyFill="1" applyBorder="1"/>
    <xf numFmtId="0" fontId="3" fillId="0" borderId="11" xfId="0" applyFont="1" applyBorder="1" applyAlignment="1">
      <alignment horizontal="left" vertical="center" wrapText="1"/>
    </xf>
    <xf numFmtId="0" fontId="40" fillId="0" borderId="1" xfId="0" applyFont="1" applyBorder="1" applyAlignment="1">
      <alignment horizontal="center" vertical="center" wrapText="1"/>
    </xf>
    <xf numFmtId="0" fontId="0" fillId="0" borderId="1" xfId="0" applyBorder="1" applyAlignment="1">
      <alignment horizontal="center" vertical="center" wrapText="1"/>
    </xf>
    <xf numFmtId="0" fontId="3" fillId="0" borderId="1" xfId="0" applyFont="1" applyFill="1" applyBorder="1" applyAlignment="1">
      <alignment horizontal="center" vertical="center" wrapText="1"/>
    </xf>
    <xf numFmtId="0" fontId="13" fillId="0" borderId="1" xfId="0" applyFont="1" applyBorder="1" applyAlignment="1">
      <alignment horizontal="center" vertical="center" wrapText="1"/>
    </xf>
    <xf numFmtId="0" fontId="0" fillId="0" borderId="0" xfId="0" applyBorder="1" applyAlignment="1">
      <alignment horizontal="left"/>
    </xf>
    <xf numFmtId="0" fontId="12" fillId="0" borderId="1" xfId="0" applyFont="1" applyBorder="1" applyAlignment="1">
      <alignment horizontal="center" vertical="center"/>
    </xf>
    <xf numFmtId="0" fontId="0" fillId="0" borderId="13" xfId="0" applyBorder="1" applyAlignment="1">
      <alignment horizontal="center" vertical="center" wrapText="1"/>
    </xf>
    <xf numFmtId="0" fontId="14" fillId="0" borderId="11" xfId="0" applyFont="1" applyBorder="1" applyAlignment="1">
      <alignment horizontal="center" vertical="center" wrapText="1"/>
    </xf>
    <xf numFmtId="9" fontId="11" fillId="0" borderId="29" xfId="1" applyFont="1" applyFill="1" applyBorder="1" applyAlignment="1">
      <alignment horizontal="center" vertical="center" wrapText="1"/>
    </xf>
    <xf numFmtId="9" fontId="11" fillId="0" borderId="1" xfId="1" applyFont="1" applyFill="1" applyBorder="1" applyAlignment="1">
      <alignment horizontal="center" vertical="center" wrapText="1"/>
    </xf>
    <xf numFmtId="0" fontId="18" fillId="0" borderId="13" xfId="0" applyFont="1" applyBorder="1" applyAlignment="1">
      <alignment horizontal="left" vertical="center" wrapText="1"/>
    </xf>
    <xf numFmtId="0" fontId="11" fillId="0" borderId="1" xfId="0" applyFont="1" applyBorder="1" applyAlignment="1">
      <alignment horizontal="center" vertical="center"/>
    </xf>
    <xf numFmtId="0" fontId="16" fillId="0" borderId="1" xfId="0" applyFont="1" applyBorder="1" applyAlignment="1">
      <alignment horizontal="center" vertical="center" wrapText="1"/>
    </xf>
    <xf numFmtId="0" fontId="19" fillId="0" borderId="13" xfId="0" applyFont="1" applyBorder="1" applyAlignment="1">
      <alignment horizontal="left" vertical="center"/>
    </xf>
    <xf numFmtId="0" fontId="19" fillId="0" borderId="1" xfId="0" applyFont="1" applyBorder="1" applyAlignment="1">
      <alignment horizontal="center" vertical="center"/>
    </xf>
    <xf numFmtId="0" fontId="17" fillId="0" borderId="1" xfId="0" applyFont="1" applyBorder="1" applyAlignment="1">
      <alignment horizontal="center" vertical="center" wrapText="1"/>
    </xf>
    <xf numFmtId="1" fontId="18" fillId="0" borderId="1" xfId="0" applyNumberFormat="1" applyFont="1" applyBorder="1" applyAlignment="1">
      <alignment horizontal="center" vertical="center"/>
    </xf>
    <xf numFmtId="1" fontId="17" fillId="0" borderId="1" xfId="0" applyNumberFormat="1" applyFont="1" applyFill="1" applyBorder="1" applyAlignment="1">
      <alignment horizontal="center" vertical="center"/>
    </xf>
    <xf numFmtId="0" fontId="18" fillId="0" borderId="9" xfId="0" applyFont="1" applyBorder="1" applyAlignment="1">
      <alignment horizontal="center" vertical="center" wrapText="1"/>
    </xf>
    <xf numFmtId="0" fontId="18" fillId="0" borderId="1" xfId="0" applyFont="1" applyBorder="1" applyAlignment="1">
      <alignment horizontal="center" vertical="center" wrapText="1"/>
    </xf>
    <xf numFmtId="1" fontId="22" fillId="0" borderId="36" xfId="0" applyNumberFormat="1" applyFont="1" applyBorder="1" applyAlignment="1">
      <alignment horizontal="center" vertical="center" wrapText="1"/>
    </xf>
    <xf numFmtId="0" fontId="12" fillId="0" borderId="14" xfId="0" applyFont="1" applyBorder="1" applyAlignment="1">
      <alignment horizontal="center" vertical="center"/>
    </xf>
    <xf numFmtId="0" fontId="0" fillId="0" borderId="9" xfId="0" applyBorder="1" applyAlignment="1">
      <alignment horizontal="center" vertical="center" wrapText="1"/>
    </xf>
    <xf numFmtId="0" fontId="19" fillId="0" borderId="13" xfId="0" applyFont="1" applyBorder="1" applyAlignment="1">
      <alignment horizontal="left" vertical="center" wrapText="1"/>
    </xf>
    <xf numFmtId="0" fontId="0" fillId="0" borderId="1" xfId="0" applyFont="1" applyBorder="1" applyAlignment="1">
      <alignment horizontal="center" vertical="center" wrapText="1"/>
    </xf>
    <xf numFmtId="0" fontId="19" fillId="0" borderId="1" xfId="0" applyFont="1" applyBorder="1" applyAlignment="1">
      <alignment vertical="center" wrapText="1"/>
    </xf>
    <xf numFmtId="0" fontId="10" fillId="5" borderId="13" xfId="0" applyFont="1" applyFill="1" applyBorder="1" applyAlignment="1">
      <alignment vertical="center" wrapText="1"/>
    </xf>
    <xf numFmtId="1" fontId="19" fillId="5" borderId="1" xfId="0" applyNumberFormat="1" applyFont="1" applyFill="1" applyBorder="1" applyAlignment="1">
      <alignment horizontal="center" vertical="center" wrapText="1"/>
    </xf>
    <xf numFmtId="1" fontId="19" fillId="8" borderId="1" xfId="0" applyNumberFormat="1" applyFont="1" applyFill="1" applyBorder="1" applyAlignment="1">
      <alignment horizontal="center" vertical="center" wrapText="1"/>
    </xf>
    <xf numFmtId="1" fontId="13" fillId="0" borderId="29" xfId="0" applyNumberFormat="1" applyFont="1" applyBorder="1" applyAlignment="1">
      <alignment horizontal="center" vertical="center" wrapText="1"/>
    </xf>
    <xf numFmtId="1" fontId="13" fillId="0" borderId="36" xfId="0" applyNumberFormat="1" applyFont="1" applyBorder="1" applyAlignment="1">
      <alignment horizontal="center" vertical="center"/>
    </xf>
    <xf numFmtId="9" fontId="0" fillId="2" borderId="1" xfId="1" applyFont="1" applyFill="1" applyBorder="1" applyAlignment="1">
      <alignment horizontal="center" vertical="center"/>
    </xf>
    <xf numFmtId="1" fontId="2" fillId="0" borderId="1" xfId="0" applyNumberFormat="1" applyFont="1" applyBorder="1" applyAlignment="1">
      <alignment horizontal="center" vertical="center"/>
    </xf>
    <xf numFmtId="0" fontId="0" fillId="0" borderId="1" xfId="0" applyBorder="1" applyAlignment="1">
      <alignment horizontal="center" vertical="top" wrapText="1"/>
    </xf>
    <xf numFmtId="1" fontId="10" fillId="5" borderId="1" xfId="0" applyNumberFormat="1" applyFont="1" applyFill="1" applyBorder="1" applyAlignment="1">
      <alignment horizontal="center" vertical="center" wrapText="1"/>
    </xf>
    <xf numFmtId="1" fontId="17" fillId="0" borderId="1" xfId="0" applyNumberFormat="1" applyFont="1" applyFill="1" applyBorder="1" applyAlignment="1">
      <alignment horizontal="center" vertical="center" wrapText="1"/>
    </xf>
    <xf numFmtId="1" fontId="16" fillId="0" borderId="36"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4" fillId="0" borderId="9" xfId="0" applyFont="1" applyBorder="1" applyAlignment="1">
      <alignment horizontal="center" vertical="center" wrapText="1"/>
    </xf>
    <xf numFmtId="1" fontId="0" fillId="2" borderId="1" xfId="0" applyNumberFormat="1" applyFill="1" applyBorder="1" applyAlignment="1">
      <alignment horizontal="center" vertical="center"/>
    </xf>
    <xf numFmtId="0" fontId="3" fillId="0" borderId="1" xfId="0" applyFont="1" applyBorder="1" applyAlignment="1">
      <alignment horizontal="center" vertical="center" wrapText="1"/>
    </xf>
    <xf numFmtId="0" fontId="0" fillId="0" borderId="1" xfId="0" applyBorder="1" applyAlignment="1">
      <alignment horizontal="center" vertical="center" wrapText="1"/>
    </xf>
    <xf numFmtId="0" fontId="2" fillId="0" borderId="1" xfId="0" applyFont="1" applyBorder="1" applyAlignment="1">
      <alignment horizontal="center" vertical="center" wrapText="1"/>
    </xf>
    <xf numFmtId="0" fontId="42" fillId="0" borderId="11" xfId="0" applyFont="1" applyBorder="1" applyAlignment="1">
      <alignment vertical="center" wrapText="1"/>
    </xf>
    <xf numFmtId="0" fontId="42" fillId="0" borderId="33" xfId="0" applyFont="1" applyBorder="1" applyAlignment="1">
      <alignment vertical="center" wrapText="1"/>
    </xf>
    <xf numFmtId="0" fontId="10" fillId="5" borderId="5" xfId="0" applyFont="1" applyFill="1" applyBorder="1" applyAlignment="1">
      <alignment vertical="center" wrapText="1"/>
    </xf>
    <xf numFmtId="0" fontId="30" fillId="0" borderId="0" xfId="0" applyFont="1" applyFill="1" applyBorder="1" applyAlignment="1">
      <alignment horizontal="left" vertical="center"/>
    </xf>
    <xf numFmtId="0" fontId="4" fillId="0" borderId="0" xfId="0" applyFont="1" applyFill="1" applyBorder="1" applyAlignment="1">
      <alignment horizontal="left" vertical="center"/>
    </xf>
    <xf numFmtId="0" fontId="30" fillId="0" borderId="0" xfId="0" applyFont="1" applyFill="1" applyBorder="1" applyAlignment="1">
      <alignment horizontal="left" vertical="center" wrapText="1"/>
    </xf>
    <xf numFmtId="0" fontId="30" fillId="0" borderId="0" xfId="2" applyFont="1" applyFill="1" applyBorder="1" applyAlignment="1">
      <alignment horizontal="left" vertical="center" wrapText="1"/>
    </xf>
    <xf numFmtId="0" fontId="30" fillId="0" borderId="0" xfId="2" applyFont="1" applyFill="1" applyBorder="1" applyAlignment="1">
      <alignment horizontal="left" vertical="center"/>
    </xf>
    <xf numFmtId="0" fontId="44" fillId="0" borderId="0" xfId="3" applyFont="1" applyFill="1" applyBorder="1" applyAlignment="1" applyProtection="1">
      <alignment horizontal="left" vertical="center" wrapText="1"/>
      <protection hidden="1"/>
    </xf>
    <xf numFmtId="0" fontId="45" fillId="0" borderId="0" xfId="0" applyFont="1" applyFill="1" applyBorder="1" applyAlignment="1" applyProtection="1">
      <alignment horizontal="left" vertical="center" wrapText="1" shrinkToFit="1"/>
      <protection hidden="1"/>
    </xf>
    <xf numFmtId="0" fontId="45" fillId="0" borderId="0" xfId="2" applyFont="1" applyFill="1" applyBorder="1" applyAlignment="1">
      <alignment horizontal="left" vertical="center"/>
    </xf>
    <xf numFmtId="0" fontId="45" fillId="0" borderId="0" xfId="2" applyFont="1" applyFill="1" applyBorder="1" applyAlignment="1">
      <alignment horizontal="left" vertical="center" wrapText="1"/>
    </xf>
    <xf numFmtId="0" fontId="46" fillId="0" borderId="0" xfId="2" applyFont="1" applyFill="1" applyBorder="1" applyAlignment="1">
      <alignment horizontal="left" vertical="center" wrapText="1"/>
    </xf>
    <xf numFmtId="0" fontId="45" fillId="0" borderId="0" xfId="0" applyFont="1" applyFill="1" applyBorder="1" applyAlignment="1" applyProtection="1">
      <alignment horizontal="left" vertical="center" wrapText="1"/>
      <protection hidden="1"/>
    </xf>
    <xf numFmtId="0" fontId="4" fillId="0" borderId="0" xfId="0" applyFont="1" applyFill="1" applyBorder="1" applyAlignment="1">
      <alignment horizontal="left" vertical="center" wrapText="1"/>
    </xf>
    <xf numFmtId="0" fontId="30" fillId="0" borderId="0" xfId="0" applyFont="1" applyFill="1" applyBorder="1" applyAlignment="1">
      <alignment horizontal="center" vertical="center" wrapText="1"/>
    </xf>
    <xf numFmtId="0" fontId="6" fillId="0" borderId="1" xfId="0" applyFont="1" applyBorder="1" applyAlignment="1">
      <alignment horizontal="center" vertical="center"/>
    </xf>
    <xf numFmtId="0" fontId="6" fillId="2" borderId="1" xfId="0" applyFont="1" applyFill="1" applyBorder="1" applyAlignment="1">
      <alignment horizontal="center" vertical="center"/>
    </xf>
    <xf numFmtId="0" fontId="7" fillId="0" borderId="1" xfId="0" applyFont="1" applyFill="1" applyBorder="1" applyAlignment="1">
      <alignment horizontal="center" vertical="center"/>
    </xf>
    <xf numFmtId="0" fontId="6" fillId="0" borderId="1" xfId="0" applyFont="1" applyBorder="1" applyAlignment="1">
      <alignment horizontal="center" vertical="center" wrapText="1"/>
    </xf>
    <xf numFmtId="0" fontId="2" fillId="0" borderId="1" xfId="0" applyFont="1" applyBorder="1" applyAlignment="1">
      <alignment horizontal="left" vertical="center"/>
    </xf>
    <xf numFmtId="0" fontId="2" fillId="0" borderId="1" xfId="0" applyFont="1" applyFill="1" applyBorder="1" applyAlignment="1">
      <alignment horizontal="left"/>
    </xf>
    <xf numFmtId="0" fontId="8" fillId="0" borderId="0" xfId="0" applyFont="1" applyFill="1"/>
    <xf numFmtId="0" fontId="8" fillId="0" borderId="0" xfId="0" applyFont="1" applyFill="1" applyAlignment="1">
      <alignment horizontal="center"/>
    </xf>
    <xf numFmtId="0" fontId="2" fillId="0" borderId="0" xfId="0" applyFont="1" applyFill="1"/>
    <xf numFmtId="0" fontId="2" fillId="0" borderId="0" xfId="0" applyFont="1" applyFill="1" applyAlignment="1">
      <alignment horizontal="center" vertical="center"/>
    </xf>
    <xf numFmtId="0" fontId="0" fillId="0" borderId="5" xfId="0" applyBorder="1"/>
    <xf numFmtId="0" fontId="0" fillId="0" borderId="8" xfId="0" applyBorder="1"/>
    <xf numFmtId="0" fontId="0" fillId="0" borderId="13" xfId="0" applyBorder="1"/>
    <xf numFmtId="0" fontId="0" fillId="0" borderId="15" xfId="0" applyBorder="1"/>
    <xf numFmtId="0" fontId="0" fillId="0" borderId="23" xfId="0" applyBorder="1"/>
    <xf numFmtId="9" fontId="11" fillId="11" borderId="1" xfId="1" applyFont="1" applyFill="1" applyBorder="1" applyAlignment="1">
      <alignment horizontal="center" vertical="center"/>
    </xf>
    <xf numFmtId="0" fontId="11" fillId="0" borderId="1" xfId="0" applyFont="1" applyFill="1" applyBorder="1" applyAlignment="1">
      <alignment horizontal="center" vertical="center"/>
    </xf>
    <xf numFmtId="0" fontId="14" fillId="7" borderId="1" xfId="0" applyFont="1" applyFill="1" applyBorder="1" applyAlignment="1">
      <alignment horizontal="center" vertical="center"/>
    </xf>
    <xf numFmtId="9" fontId="11" fillId="7" borderId="1" xfId="1" applyFont="1" applyFill="1" applyBorder="1" applyAlignment="1">
      <alignment horizontal="center" vertical="center"/>
    </xf>
    <xf numFmtId="0" fontId="11" fillId="7" borderId="1" xfId="0" applyFont="1" applyFill="1" applyBorder="1" applyAlignment="1">
      <alignment horizontal="center" vertical="center"/>
    </xf>
    <xf numFmtId="1" fontId="13" fillId="7" borderId="36" xfId="0" applyNumberFormat="1" applyFont="1" applyFill="1" applyBorder="1" applyAlignment="1">
      <alignment horizontal="center" vertical="center"/>
    </xf>
    <xf numFmtId="0" fontId="2" fillId="7" borderId="36" xfId="0" applyFont="1" applyFill="1" applyBorder="1" applyAlignment="1">
      <alignment horizontal="center" vertical="center" wrapText="1"/>
    </xf>
    <xf numFmtId="9" fontId="2" fillId="7" borderId="36" xfId="1" applyFont="1" applyFill="1" applyBorder="1" applyAlignment="1">
      <alignment horizontal="center" vertical="center"/>
    </xf>
    <xf numFmtId="1" fontId="2" fillId="7" borderId="37" xfId="0" applyNumberFormat="1" applyFont="1" applyFill="1" applyBorder="1" applyAlignment="1">
      <alignment horizontal="center" vertical="center" wrapText="1"/>
    </xf>
    <xf numFmtId="0" fontId="0" fillId="0" borderId="1" xfId="0" applyFont="1" applyFill="1" applyBorder="1" applyAlignment="1">
      <alignment horizontal="center" vertical="center" wrapText="1"/>
    </xf>
    <xf numFmtId="9" fontId="2" fillId="0" borderId="1" xfId="1" applyFont="1" applyFill="1" applyBorder="1" applyAlignment="1">
      <alignment horizontal="center" vertical="center"/>
    </xf>
    <xf numFmtId="1" fontId="13" fillId="0" borderId="29" xfId="0" applyNumberFormat="1" applyFont="1" applyBorder="1" applyAlignment="1">
      <alignment horizontal="center" vertical="center"/>
    </xf>
    <xf numFmtId="0" fontId="0" fillId="0" borderId="29" xfId="0" applyFont="1" applyFill="1" applyBorder="1" applyAlignment="1">
      <alignment horizontal="center" vertical="center" wrapText="1"/>
    </xf>
    <xf numFmtId="9" fontId="2" fillId="0" borderId="29" xfId="1" applyFont="1" applyFill="1" applyBorder="1" applyAlignment="1">
      <alignment horizontal="center" vertical="center"/>
    </xf>
    <xf numFmtId="0" fontId="2" fillId="7" borderId="37" xfId="0" applyFont="1" applyFill="1" applyBorder="1" applyAlignment="1">
      <alignment horizontal="center" vertical="center" wrapText="1"/>
    </xf>
    <xf numFmtId="0" fontId="2" fillId="0" borderId="9" xfId="0" applyFont="1" applyBorder="1" applyAlignment="1">
      <alignment horizontal="center" vertical="center"/>
    </xf>
    <xf numFmtId="1" fontId="0" fillId="0" borderId="1" xfId="0" applyNumberFormat="1" applyFont="1" applyFill="1" applyBorder="1" applyAlignment="1">
      <alignment horizontal="center" vertical="center" wrapText="1"/>
    </xf>
    <xf numFmtId="0" fontId="11" fillId="0" borderId="23" xfId="0" applyFont="1" applyFill="1" applyBorder="1" applyAlignment="1">
      <alignment horizontal="left"/>
    </xf>
    <xf numFmtId="9" fontId="11" fillId="11" borderId="1" xfId="1" applyFont="1" applyFill="1" applyBorder="1" applyAlignment="1">
      <alignment horizontal="center" vertical="center" wrapText="1"/>
    </xf>
    <xf numFmtId="0" fontId="2" fillId="0" borderId="23" xfId="0" applyFont="1" applyBorder="1"/>
    <xf numFmtId="0" fontId="5" fillId="0" borderId="0" xfId="0" applyFont="1" applyBorder="1" applyAlignment="1">
      <alignment horizontal="center"/>
    </xf>
    <xf numFmtId="0" fontId="12" fillId="0" borderId="0" xfId="0" applyFont="1" applyBorder="1" applyAlignment="1">
      <alignment horizontal="right"/>
    </xf>
    <xf numFmtId="1" fontId="10" fillId="0" borderId="23" xfId="0" applyNumberFormat="1" applyFont="1" applyFill="1" applyBorder="1" applyAlignment="1">
      <alignment horizontal="center" vertical="center"/>
    </xf>
    <xf numFmtId="9" fontId="10" fillId="11" borderId="1" xfId="1" applyFont="1" applyFill="1" applyBorder="1" applyAlignment="1">
      <alignment horizontal="center" vertical="center"/>
    </xf>
    <xf numFmtId="1" fontId="10" fillId="0" borderId="1" xfId="0" applyNumberFormat="1" applyFont="1" applyBorder="1" applyAlignment="1">
      <alignment horizontal="center" vertical="center"/>
    </xf>
    <xf numFmtId="0" fontId="19" fillId="0" borderId="39" xfId="0" applyFont="1" applyBorder="1"/>
    <xf numFmtId="9" fontId="10" fillId="0" borderId="29" xfId="1" applyFont="1" applyFill="1" applyBorder="1" applyAlignment="1">
      <alignment horizontal="center" vertical="center"/>
    </xf>
    <xf numFmtId="1" fontId="10" fillId="0" borderId="29" xfId="0" applyNumberFormat="1" applyFont="1" applyBorder="1" applyAlignment="1">
      <alignment horizontal="center"/>
    </xf>
    <xf numFmtId="0" fontId="10" fillId="0" borderId="48" xfId="0" applyFont="1" applyBorder="1"/>
    <xf numFmtId="1" fontId="10" fillId="0" borderId="36" xfId="0" applyNumberFormat="1" applyFont="1" applyFill="1" applyBorder="1" applyAlignment="1">
      <alignment horizontal="center" vertical="center"/>
    </xf>
    <xf numFmtId="9" fontId="10" fillId="0" borderId="36" xfId="1" applyFont="1" applyFill="1" applyBorder="1" applyAlignment="1">
      <alignment horizontal="center" vertical="center"/>
    </xf>
    <xf numFmtId="1" fontId="10" fillId="0" borderId="37" xfId="0" applyNumberFormat="1" applyFont="1" applyFill="1" applyBorder="1" applyAlignment="1">
      <alignment horizontal="center" vertical="center"/>
    </xf>
    <xf numFmtId="0" fontId="18" fillId="0" borderId="5" xfId="0" applyFont="1" applyBorder="1"/>
    <xf numFmtId="0" fontId="17" fillId="0" borderId="9" xfId="0" applyFont="1" applyBorder="1" applyAlignment="1">
      <alignment horizontal="center" vertical="center" wrapText="1"/>
    </xf>
    <xf numFmtId="9" fontId="18" fillId="11" borderId="1" xfId="1" applyFont="1" applyFill="1" applyBorder="1" applyAlignment="1">
      <alignment horizontal="center" vertical="center"/>
    </xf>
    <xf numFmtId="1" fontId="10" fillId="7" borderId="57" xfId="0" applyNumberFormat="1" applyFont="1" applyFill="1" applyBorder="1" applyAlignment="1">
      <alignment horizontal="center" vertical="center"/>
    </xf>
    <xf numFmtId="1" fontId="17" fillId="7" borderId="57" xfId="0" applyNumberFormat="1" applyFont="1" applyFill="1" applyBorder="1" applyAlignment="1">
      <alignment horizontal="center" vertical="center"/>
    </xf>
    <xf numFmtId="9" fontId="16" fillId="7" borderId="1" xfId="1" applyFont="1" applyFill="1" applyBorder="1" applyAlignment="1">
      <alignment horizontal="center" vertical="center"/>
    </xf>
    <xf numFmtId="1" fontId="16" fillId="7" borderId="1" xfId="0" applyNumberFormat="1" applyFont="1" applyFill="1" applyBorder="1" applyAlignment="1">
      <alignment horizontal="center" vertical="center"/>
    </xf>
    <xf numFmtId="1" fontId="19" fillId="0" borderId="1" xfId="0" applyNumberFormat="1" applyFont="1" applyFill="1" applyBorder="1" applyAlignment="1">
      <alignment horizontal="center" vertical="center"/>
    </xf>
    <xf numFmtId="1" fontId="19" fillId="0" borderId="29" xfId="0" applyNumberFormat="1" applyFont="1" applyFill="1" applyBorder="1" applyAlignment="1">
      <alignment horizontal="center" vertical="center"/>
    </xf>
    <xf numFmtId="0" fontId="5" fillId="7" borderId="29" xfId="0" applyFont="1" applyFill="1" applyBorder="1" applyAlignment="1">
      <alignment vertical="center"/>
    </xf>
    <xf numFmtId="0" fontId="21" fillId="7" borderId="29" xfId="0" applyFont="1" applyFill="1" applyBorder="1" applyAlignment="1">
      <alignment horizontal="center" vertical="center"/>
    </xf>
    <xf numFmtId="9" fontId="5" fillId="7" borderId="29" xfId="1" applyFont="1" applyFill="1" applyBorder="1" applyAlignment="1">
      <alignment horizontal="center" vertical="center"/>
    </xf>
    <xf numFmtId="1" fontId="5" fillId="7" borderId="29" xfId="0" applyNumberFormat="1" applyFont="1" applyFill="1" applyBorder="1" applyAlignment="1">
      <alignment horizontal="center" vertical="center"/>
    </xf>
    <xf numFmtId="1" fontId="21" fillId="0" borderId="36" xfId="0" applyNumberFormat="1" applyFont="1" applyFill="1" applyBorder="1" applyAlignment="1">
      <alignment horizontal="center" vertical="center"/>
    </xf>
    <xf numFmtId="9" fontId="18" fillId="0" borderId="36" xfId="1" applyFont="1" applyFill="1" applyBorder="1" applyAlignment="1">
      <alignment horizontal="center" vertical="center"/>
    </xf>
    <xf numFmtId="1" fontId="18" fillId="0" borderId="37" xfId="0" applyNumberFormat="1" applyFont="1" applyBorder="1" applyAlignment="1">
      <alignment horizontal="center" vertical="center"/>
    </xf>
    <xf numFmtId="0" fontId="5" fillId="0" borderId="0" xfId="0" applyFont="1" applyFill="1" applyAlignment="1">
      <alignment horizontal="center" vertical="center"/>
    </xf>
    <xf numFmtId="0" fontId="5" fillId="0" borderId="0" xfId="0" applyFont="1" applyFill="1" applyBorder="1" applyAlignment="1">
      <alignment horizontal="center" vertical="center"/>
    </xf>
    <xf numFmtId="0" fontId="0" fillId="0" borderId="13" xfId="0" applyFill="1" applyBorder="1"/>
    <xf numFmtId="0" fontId="12" fillId="0" borderId="1" xfId="0" applyFont="1" applyBorder="1" applyAlignment="1">
      <alignment vertical="center"/>
    </xf>
    <xf numFmtId="0" fontId="7" fillId="0" borderId="13" xfId="0" applyFont="1" applyFill="1" applyBorder="1"/>
    <xf numFmtId="1" fontId="22" fillId="0" borderId="1" xfId="0" applyNumberFormat="1" applyFont="1" applyBorder="1" applyAlignment="1">
      <alignment horizontal="center" vertical="center"/>
    </xf>
    <xf numFmtId="0" fontId="7" fillId="0" borderId="39" xfId="0" applyFont="1" applyFill="1" applyBorder="1"/>
    <xf numFmtId="1" fontId="22" fillId="0" borderId="29" xfId="0" applyNumberFormat="1" applyFont="1" applyBorder="1" applyAlignment="1">
      <alignment horizontal="center" vertical="center"/>
    </xf>
    <xf numFmtId="0" fontId="7" fillId="0" borderId="48" xfId="0" applyFont="1" applyFill="1" applyBorder="1"/>
    <xf numFmtId="9" fontId="7" fillId="0" borderId="36" xfId="1" applyFont="1" applyFill="1" applyBorder="1" applyAlignment="1">
      <alignment horizontal="center" vertical="center"/>
    </xf>
    <xf numFmtId="0" fontId="0" fillId="0" borderId="5" xfId="0" applyBorder="1" applyAlignment="1">
      <alignment horizontal="center"/>
    </xf>
    <xf numFmtId="0" fontId="13" fillId="0" borderId="50" xfId="0" applyFont="1" applyBorder="1" applyAlignment="1">
      <alignment horizontal="center" vertical="center" wrapText="1"/>
    </xf>
    <xf numFmtId="9" fontId="0" fillId="11" borderId="1" xfId="1" applyFont="1" applyFill="1" applyBorder="1" applyAlignment="1">
      <alignment horizontal="center" vertical="center"/>
    </xf>
    <xf numFmtId="9" fontId="0" fillId="0" borderId="1" xfId="1" applyFont="1" applyFill="1" applyBorder="1" applyAlignment="1">
      <alignment horizontal="center" vertical="center"/>
    </xf>
    <xf numFmtId="0" fontId="0" fillId="0" borderId="39" xfId="0" applyBorder="1"/>
    <xf numFmtId="0" fontId="0" fillId="7" borderId="39" xfId="0" applyFill="1" applyBorder="1"/>
    <xf numFmtId="1" fontId="0" fillId="7" borderId="29" xfId="0" applyNumberFormat="1" applyFill="1" applyBorder="1" applyAlignment="1">
      <alignment horizontal="center" vertical="center"/>
    </xf>
    <xf numFmtId="1" fontId="13" fillId="7" borderId="29" xfId="0" applyNumberFormat="1" applyFont="1" applyFill="1" applyBorder="1" applyAlignment="1">
      <alignment horizontal="center" vertical="center"/>
    </xf>
    <xf numFmtId="9" fontId="0" fillId="7" borderId="31" xfId="1" applyFont="1" applyFill="1" applyBorder="1" applyAlignment="1">
      <alignment horizontal="center" vertical="center"/>
    </xf>
    <xf numFmtId="9" fontId="0" fillId="7" borderId="29" xfId="1" applyFont="1" applyFill="1" applyBorder="1" applyAlignment="1">
      <alignment horizontal="center" vertical="center"/>
    </xf>
    <xf numFmtId="1" fontId="0" fillId="7" borderId="14" xfId="0" applyNumberFormat="1" applyFill="1" applyBorder="1" applyAlignment="1">
      <alignment horizontal="center" vertical="center"/>
    </xf>
    <xf numFmtId="0" fontId="0" fillId="0" borderId="39" xfId="0" applyBorder="1" applyAlignment="1">
      <alignment horizontal="right"/>
    </xf>
    <xf numFmtId="0" fontId="0" fillId="0" borderId="23" xfId="0" applyBorder="1" applyAlignment="1">
      <alignment horizontal="center"/>
    </xf>
    <xf numFmtId="0" fontId="0" fillId="7" borderId="1" xfId="0" applyFill="1" applyBorder="1"/>
    <xf numFmtId="1" fontId="0" fillId="7" borderId="1" xfId="0" applyNumberFormat="1" applyFill="1" applyBorder="1" applyAlignment="1">
      <alignment horizontal="center" vertical="center"/>
    </xf>
    <xf numFmtId="1" fontId="13" fillId="7" borderId="1" xfId="0" applyNumberFormat="1" applyFont="1" applyFill="1" applyBorder="1" applyAlignment="1">
      <alignment horizontal="center" vertical="center" wrapText="1"/>
    </xf>
    <xf numFmtId="1" fontId="11" fillId="7" borderId="29" xfId="0" applyNumberFormat="1" applyFont="1" applyFill="1" applyBorder="1" applyAlignment="1">
      <alignment horizontal="center" vertical="center" wrapText="1"/>
    </xf>
    <xf numFmtId="0" fontId="0" fillId="0" borderId="1" xfId="0" applyBorder="1" applyAlignment="1">
      <alignment horizontal="left" indent="5"/>
    </xf>
    <xf numFmtId="0" fontId="0" fillId="0" borderId="29" xfId="0" applyBorder="1" applyAlignment="1">
      <alignment horizontal="left" indent="5"/>
    </xf>
    <xf numFmtId="0" fontId="25" fillId="0" borderId="23" xfId="0" applyFont="1" applyBorder="1" applyAlignment="1">
      <alignment vertical="center"/>
    </xf>
    <xf numFmtId="9" fontId="12" fillId="0" borderId="1" xfId="1" applyFont="1" applyFill="1" applyBorder="1" applyAlignment="1">
      <alignment horizontal="center" vertical="center"/>
    </xf>
    <xf numFmtId="9" fontId="12" fillId="11" borderId="1" xfId="1" applyFont="1" applyFill="1" applyBorder="1" applyAlignment="1">
      <alignment horizontal="center" vertical="center"/>
    </xf>
    <xf numFmtId="9" fontId="27" fillId="0" borderId="1" xfId="1" applyFont="1" applyFill="1" applyBorder="1" applyAlignment="1">
      <alignment horizontal="center" vertical="center" wrapText="1"/>
    </xf>
    <xf numFmtId="9" fontId="27" fillId="0" borderId="29" xfId="1" applyFont="1" applyFill="1" applyBorder="1" applyAlignment="1">
      <alignment horizontal="center" vertical="center" wrapText="1"/>
    </xf>
    <xf numFmtId="0" fontId="28" fillId="0" borderId="0" xfId="0" applyFont="1" applyAlignment="1">
      <alignment horizontal="left" vertical="center" indent="5"/>
    </xf>
    <xf numFmtId="0" fontId="25" fillId="0" borderId="0" xfId="0" applyFont="1" applyAlignment="1">
      <alignment vertical="center"/>
    </xf>
    <xf numFmtId="0" fontId="10" fillId="5" borderId="20" xfId="0" applyFont="1" applyFill="1" applyBorder="1" applyAlignment="1">
      <alignment horizontal="center" vertical="center" wrapText="1"/>
    </xf>
    <xf numFmtId="0" fontId="2" fillId="0" borderId="0" xfId="0" applyFont="1" applyAlignment="1"/>
    <xf numFmtId="0" fontId="2" fillId="0" borderId="0" xfId="0" applyFont="1" applyBorder="1" applyAlignment="1"/>
    <xf numFmtId="1" fontId="2" fillId="5" borderId="1" xfId="0" applyNumberFormat="1" applyFont="1" applyFill="1" applyBorder="1" applyAlignment="1">
      <alignment horizontal="center" vertical="center"/>
    </xf>
    <xf numFmtId="9" fontId="2" fillId="5" borderId="1" xfId="1" applyFont="1" applyFill="1" applyBorder="1" applyAlignment="1">
      <alignment horizontal="center" vertical="center"/>
    </xf>
    <xf numFmtId="9" fontId="0" fillId="0" borderId="1" xfId="1" applyFont="1" applyBorder="1" applyAlignment="1">
      <alignment horizontal="center" vertical="center"/>
    </xf>
    <xf numFmtId="0" fontId="0" fillId="0" borderId="23" xfId="0" applyFill="1" applyBorder="1"/>
    <xf numFmtId="0" fontId="30" fillId="0" borderId="13" xfId="0" applyFont="1" applyFill="1" applyBorder="1"/>
    <xf numFmtId="0" fontId="30" fillId="0" borderId="13" xfId="0" applyFont="1" applyFill="1" applyBorder="1" applyAlignment="1">
      <alignment horizontal="left" vertical="center"/>
    </xf>
    <xf numFmtId="0" fontId="18" fillId="0" borderId="13" xfId="0" applyFont="1" applyFill="1" applyBorder="1" applyAlignment="1">
      <alignment vertical="center" wrapText="1"/>
    </xf>
    <xf numFmtId="0" fontId="2" fillId="0" borderId="48" xfId="0" applyFont="1" applyBorder="1" applyAlignment="1">
      <alignment horizontal="right"/>
    </xf>
    <xf numFmtId="0" fontId="0" fillId="0" borderId="13" xfId="0" applyFill="1" applyBorder="1" applyAlignment="1">
      <alignment horizontal="left" vertical="center" wrapText="1"/>
    </xf>
    <xf numFmtId="0" fontId="0" fillId="0" borderId="39" xfId="0" applyFill="1" applyBorder="1" applyAlignment="1">
      <alignment horizontal="left"/>
    </xf>
    <xf numFmtId="9" fontId="11" fillId="0" borderId="29" xfId="1" applyFont="1" applyFill="1" applyBorder="1" applyAlignment="1">
      <alignment horizontal="center" vertical="center"/>
    </xf>
    <xf numFmtId="0" fontId="2" fillId="0" borderId="48" xfId="0" applyFont="1" applyFill="1" applyBorder="1"/>
    <xf numFmtId="9" fontId="11" fillId="0" borderId="36" xfId="1" applyFont="1" applyFill="1" applyBorder="1" applyAlignment="1">
      <alignment horizontal="center" vertical="center"/>
    </xf>
    <xf numFmtId="1" fontId="11" fillId="0" borderId="48" xfId="0" applyNumberFormat="1" applyFont="1" applyBorder="1" applyAlignment="1">
      <alignment vertical="center"/>
    </xf>
    <xf numFmtId="0" fontId="12" fillId="0" borderId="13" xfId="0" applyFont="1" applyBorder="1" applyAlignment="1">
      <alignment horizontal="left" vertical="center" wrapText="1" indent="5"/>
    </xf>
    <xf numFmtId="0" fontId="0" fillId="0" borderId="39" xfId="0" applyBorder="1" applyAlignment="1">
      <alignment horizontal="left" indent="5"/>
    </xf>
    <xf numFmtId="0" fontId="41" fillId="0" borderId="23" xfId="0" applyFont="1" applyBorder="1" applyAlignment="1">
      <alignment horizontal="center"/>
    </xf>
    <xf numFmtId="0" fontId="0" fillId="0" borderId="13" xfId="0" applyBorder="1" applyAlignment="1">
      <alignment horizontal="center" vertical="center"/>
    </xf>
    <xf numFmtId="0" fontId="0" fillId="0" borderId="0" xfId="0" applyAlignment="1">
      <alignment horizontal="center" vertical="center"/>
    </xf>
    <xf numFmtId="0" fontId="18" fillId="0" borderId="1" xfId="0" applyFont="1" applyFill="1" applyBorder="1" applyAlignment="1">
      <alignment vertical="center" wrapText="1"/>
    </xf>
    <xf numFmtId="0" fontId="18" fillId="0" borderId="23" xfId="0" applyFont="1" applyFill="1" applyBorder="1" applyAlignment="1">
      <alignment vertical="center" wrapText="1"/>
    </xf>
    <xf numFmtId="0" fontId="12" fillId="0" borderId="23" xfId="0" applyFont="1" applyBorder="1" applyAlignment="1">
      <alignment horizontal="center" vertical="center"/>
    </xf>
    <xf numFmtId="0" fontId="30" fillId="0" borderId="23" xfId="0" applyFont="1" applyBorder="1"/>
    <xf numFmtId="0" fontId="4" fillId="0" borderId="13" xfId="0" applyFont="1" applyBorder="1" applyAlignment="1">
      <alignment horizontal="center"/>
    </xf>
    <xf numFmtId="0" fontId="4" fillId="0" borderId="39" xfId="0" applyFont="1" applyBorder="1" applyAlignment="1">
      <alignment horizontal="center"/>
    </xf>
    <xf numFmtId="0" fontId="4" fillId="0" borderId="48" xfId="0" applyFont="1" applyBorder="1" applyAlignment="1">
      <alignment horizontal="center"/>
    </xf>
    <xf numFmtId="1" fontId="3" fillId="0" borderId="36" xfId="0" applyNumberFormat="1" applyFont="1" applyBorder="1" applyAlignment="1">
      <alignment horizontal="center" vertical="center" wrapText="1"/>
    </xf>
    <xf numFmtId="0" fontId="4" fillId="0" borderId="60" xfId="0" applyFont="1" applyFill="1" applyBorder="1" applyAlignment="1">
      <alignment horizontal="center"/>
    </xf>
    <xf numFmtId="0" fontId="5" fillId="6" borderId="0" xfId="0" applyFont="1" applyFill="1" applyBorder="1" applyAlignment="1">
      <alignment horizontal="center" vertical="center"/>
    </xf>
    <xf numFmtId="0" fontId="2" fillId="0" borderId="0" xfId="0" applyFont="1"/>
    <xf numFmtId="1" fontId="2" fillId="0" borderId="67" xfId="0" applyNumberFormat="1" applyFont="1" applyBorder="1" applyAlignment="1">
      <alignment horizontal="center" vertical="center"/>
    </xf>
    <xf numFmtId="0" fontId="20" fillId="0" borderId="70" xfId="0" applyFont="1" applyBorder="1" applyAlignment="1">
      <alignment vertical="center" wrapText="1"/>
    </xf>
    <xf numFmtId="0" fontId="20" fillId="0" borderId="71" xfId="0" applyFont="1" applyBorder="1" applyAlignment="1">
      <alignment vertical="center" wrapText="1"/>
    </xf>
    <xf numFmtId="0" fontId="37" fillId="0" borderId="71" xfId="0" applyFont="1" applyBorder="1" applyAlignment="1">
      <alignment vertical="center" wrapText="1"/>
    </xf>
    <xf numFmtId="0" fontId="0" fillId="0" borderId="11" xfId="0" applyFill="1" applyBorder="1" applyAlignment="1">
      <alignment vertical="center" wrapText="1"/>
    </xf>
    <xf numFmtId="0" fontId="0" fillId="0" borderId="6" xfId="0" applyFill="1" applyBorder="1" applyAlignment="1">
      <alignment vertical="center" wrapText="1"/>
    </xf>
    <xf numFmtId="0" fontId="0" fillId="0" borderId="1" xfId="0" applyFill="1" applyBorder="1" applyAlignment="1">
      <alignment vertical="center" wrapText="1"/>
    </xf>
    <xf numFmtId="0" fontId="18" fillId="0" borderId="11" xfId="0" applyFont="1" applyBorder="1" applyAlignment="1">
      <alignment vertical="center" wrapText="1"/>
    </xf>
    <xf numFmtId="1" fontId="3" fillId="0" borderId="40" xfId="0" applyNumberFormat="1" applyFont="1" applyBorder="1" applyAlignment="1">
      <alignment vertical="center"/>
    </xf>
    <xf numFmtId="0" fontId="48" fillId="0" borderId="1" xfId="0" applyFont="1" applyFill="1" applyBorder="1" applyAlignment="1">
      <alignment wrapText="1"/>
    </xf>
    <xf numFmtId="0" fontId="24" fillId="0" borderId="1" xfId="0" applyFont="1" applyBorder="1" applyAlignment="1">
      <alignment vertical="center" wrapText="1"/>
    </xf>
    <xf numFmtId="0" fontId="49" fillId="0" borderId="0" xfId="0" applyFont="1" applyFill="1"/>
    <xf numFmtId="0" fontId="0" fillId="10" borderId="11" xfId="0" applyFont="1" applyFill="1" applyBorder="1" applyAlignment="1">
      <alignment horizontal="center" vertical="center" wrapText="1"/>
    </xf>
    <xf numFmtId="0" fontId="6" fillId="2" borderId="1" xfId="0" applyFont="1" applyFill="1" applyBorder="1" applyAlignment="1" applyProtection="1">
      <alignment horizontal="center" vertical="center"/>
      <protection locked="0"/>
    </xf>
    <xf numFmtId="0" fontId="2" fillId="2" borderId="1" xfId="0" applyFont="1" applyFill="1" applyBorder="1" applyAlignment="1" applyProtection="1">
      <alignment horizontal="center" vertical="center"/>
      <protection locked="0"/>
    </xf>
    <xf numFmtId="0" fontId="0" fillId="2" borderId="1" xfId="0" applyFill="1" applyBorder="1" applyAlignment="1" applyProtection="1">
      <alignment horizontal="center"/>
      <protection locked="0"/>
    </xf>
    <xf numFmtId="1" fontId="13" fillId="2" borderId="1" xfId="0" applyNumberFormat="1" applyFont="1" applyFill="1" applyBorder="1" applyAlignment="1" applyProtection="1">
      <alignment horizontal="center" vertical="center"/>
      <protection locked="0"/>
    </xf>
    <xf numFmtId="0" fontId="0" fillId="2" borderId="1" xfId="0" applyFont="1" applyFill="1" applyBorder="1" applyAlignment="1" applyProtection="1">
      <alignment horizontal="center" vertical="center" wrapText="1"/>
      <protection locked="0"/>
    </xf>
    <xf numFmtId="0" fontId="0" fillId="2" borderId="11" xfId="0" applyFont="1" applyFill="1" applyBorder="1" applyAlignment="1" applyProtection="1">
      <alignment horizontal="center" vertical="center" wrapText="1"/>
      <protection locked="0"/>
    </xf>
    <xf numFmtId="1" fontId="13" fillId="2" borderId="29" xfId="0" applyNumberFormat="1" applyFont="1" applyFill="1" applyBorder="1" applyAlignment="1" applyProtection="1">
      <alignment horizontal="center" vertical="center"/>
      <protection locked="0"/>
    </xf>
    <xf numFmtId="0" fontId="0" fillId="2" borderId="29" xfId="0" applyFont="1" applyFill="1" applyBorder="1" applyAlignment="1" applyProtection="1">
      <alignment horizontal="center" vertical="center" wrapText="1"/>
      <protection locked="0"/>
    </xf>
    <xf numFmtId="0" fontId="0" fillId="2" borderId="33" xfId="0" applyFont="1" applyFill="1" applyBorder="1" applyAlignment="1" applyProtection="1">
      <alignment horizontal="center" vertical="center" wrapText="1"/>
      <protection locked="0"/>
    </xf>
    <xf numFmtId="0" fontId="2" fillId="2" borderId="29" xfId="0" applyFont="1" applyFill="1" applyBorder="1" applyAlignment="1" applyProtection="1">
      <alignment horizontal="center" vertical="center"/>
      <protection locked="0"/>
    </xf>
    <xf numFmtId="0" fontId="13" fillId="2" borderId="9" xfId="0" applyFont="1" applyFill="1" applyBorder="1" applyAlignment="1" applyProtection="1">
      <alignment horizontal="center" vertical="center"/>
      <protection locked="0"/>
    </xf>
    <xf numFmtId="0" fontId="0" fillId="2" borderId="38" xfId="0" applyFont="1" applyFill="1" applyBorder="1" applyAlignment="1" applyProtection="1">
      <alignment horizontal="center" vertical="center" wrapText="1"/>
      <protection locked="0"/>
    </xf>
    <xf numFmtId="0" fontId="14" fillId="2" borderId="9" xfId="0" applyFont="1" applyFill="1" applyBorder="1" applyAlignment="1" applyProtection="1">
      <alignment horizontal="center" vertical="center"/>
      <protection locked="0"/>
    </xf>
    <xf numFmtId="0" fontId="14" fillId="2" borderId="1" xfId="0" applyFont="1" applyFill="1" applyBorder="1" applyAlignment="1" applyProtection="1">
      <alignment horizontal="center" vertical="center"/>
      <protection locked="0"/>
    </xf>
    <xf numFmtId="0" fontId="13" fillId="2" borderId="1" xfId="0" applyFont="1" applyFill="1" applyBorder="1" applyAlignment="1" applyProtection="1">
      <alignment horizontal="center" vertical="center"/>
      <protection locked="0"/>
    </xf>
    <xf numFmtId="0" fontId="13" fillId="2" borderId="29" xfId="0" applyFont="1" applyFill="1" applyBorder="1" applyAlignment="1" applyProtection="1">
      <alignment horizontal="center" vertical="center"/>
      <protection locked="0"/>
    </xf>
    <xf numFmtId="0" fontId="14" fillId="2" borderId="29" xfId="0" applyFont="1" applyFill="1" applyBorder="1" applyAlignment="1" applyProtection="1">
      <alignment horizontal="center" vertical="center"/>
      <protection locked="0"/>
    </xf>
    <xf numFmtId="1" fontId="11" fillId="0" borderId="36" xfId="0" applyNumberFormat="1" applyFont="1" applyBorder="1" applyAlignment="1">
      <alignment horizontal="center" vertical="center"/>
    </xf>
    <xf numFmtId="0" fontId="17" fillId="2" borderId="1" xfId="0" applyFont="1" applyFill="1" applyBorder="1" applyAlignment="1" applyProtection="1">
      <alignment vertical="center" wrapText="1"/>
      <protection locked="0"/>
    </xf>
    <xf numFmtId="1" fontId="18" fillId="2" borderId="1" xfId="0" applyNumberFormat="1" applyFont="1" applyFill="1" applyBorder="1" applyAlignment="1" applyProtection="1">
      <alignment horizontal="center" vertical="center"/>
      <protection locked="0"/>
    </xf>
    <xf numFmtId="1" fontId="18" fillId="2" borderId="29" xfId="0" applyNumberFormat="1" applyFont="1" applyFill="1" applyBorder="1" applyAlignment="1" applyProtection="1">
      <alignment horizontal="center" vertical="center"/>
      <protection locked="0"/>
    </xf>
    <xf numFmtId="0" fontId="11" fillId="10" borderId="12" xfId="0" applyFont="1" applyFill="1" applyBorder="1" applyAlignment="1">
      <alignment vertical="center" wrapText="1"/>
    </xf>
    <xf numFmtId="1" fontId="19" fillId="11" borderId="1" xfId="0" applyNumberFormat="1" applyFont="1" applyFill="1" applyBorder="1" applyAlignment="1" applyProtection="1">
      <alignment horizontal="center" vertical="center"/>
      <protection locked="0"/>
    </xf>
    <xf numFmtId="1" fontId="19" fillId="2" borderId="1" xfId="0" applyNumberFormat="1" applyFont="1" applyFill="1" applyBorder="1" applyAlignment="1" applyProtection="1">
      <alignment horizontal="center" vertical="center"/>
      <protection locked="0"/>
    </xf>
    <xf numFmtId="1" fontId="19" fillId="2" borderId="29" xfId="0" applyNumberFormat="1" applyFont="1" applyFill="1" applyBorder="1" applyAlignment="1" applyProtection="1">
      <alignment horizontal="center" vertical="center"/>
      <protection locked="0"/>
    </xf>
    <xf numFmtId="9" fontId="18" fillId="2" borderId="1" xfId="1" applyFont="1" applyFill="1" applyBorder="1" applyAlignment="1" applyProtection="1">
      <alignment horizontal="center" vertical="center"/>
      <protection locked="0"/>
    </xf>
    <xf numFmtId="9" fontId="18" fillId="2" borderId="29" xfId="1" applyFont="1" applyFill="1" applyBorder="1" applyAlignment="1" applyProtection="1">
      <alignment horizontal="center" vertical="center"/>
      <protection locked="0"/>
    </xf>
    <xf numFmtId="0" fontId="7" fillId="2" borderId="1" xfId="0" applyFont="1" applyFill="1" applyBorder="1" applyProtection="1">
      <protection locked="0"/>
    </xf>
    <xf numFmtId="1" fontId="3" fillId="2" borderId="1" xfId="0" applyNumberFormat="1" applyFont="1" applyFill="1" applyBorder="1" applyAlignment="1" applyProtection="1">
      <alignment vertical="center"/>
      <protection locked="0"/>
    </xf>
    <xf numFmtId="1" fontId="3" fillId="2" borderId="11" xfId="0" applyNumberFormat="1" applyFont="1" applyFill="1" applyBorder="1" applyAlignment="1" applyProtection="1">
      <alignment vertical="center"/>
      <protection locked="0"/>
    </xf>
    <xf numFmtId="9" fontId="7" fillId="2" borderId="1" xfId="1" applyFont="1" applyFill="1" applyBorder="1" applyAlignment="1" applyProtection="1">
      <alignment horizontal="center" vertical="center"/>
      <protection locked="0"/>
    </xf>
    <xf numFmtId="1" fontId="7" fillId="2" borderId="1" xfId="0" applyNumberFormat="1" applyFont="1" applyFill="1" applyBorder="1" applyAlignment="1" applyProtection="1">
      <alignment horizontal="center" vertical="center"/>
      <protection locked="0"/>
    </xf>
    <xf numFmtId="1" fontId="3" fillId="2" borderId="17" xfId="0" applyNumberFormat="1" applyFont="1" applyFill="1" applyBorder="1" applyAlignment="1" applyProtection="1">
      <alignment vertical="center"/>
      <protection locked="0"/>
    </xf>
    <xf numFmtId="9" fontId="7" fillId="2" borderId="29" xfId="1" applyFont="1" applyFill="1" applyBorder="1" applyAlignment="1" applyProtection="1">
      <alignment horizontal="center" vertical="center"/>
      <protection locked="0"/>
    </xf>
    <xf numFmtId="1" fontId="7" fillId="2" borderId="29" xfId="0" applyNumberFormat="1" applyFont="1" applyFill="1" applyBorder="1" applyAlignment="1" applyProtection="1">
      <alignment horizontal="center" vertical="center"/>
      <protection locked="0"/>
    </xf>
    <xf numFmtId="0" fontId="0" fillId="0" borderId="1" xfId="0" applyBorder="1" applyAlignment="1">
      <alignment vertical="top" wrapText="1"/>
    </xf>
    <xf numFmtId="0" fontId="37" fillId="0" borderId="1" xfId="0" applyFont="1" applyBorder="1" applyAlignment="1">
      <alignment horizontal="center" vertical="center" wrapText="1"/>
    </xf>
    <xf numFmtId="0" fontId="37" fillId="0" borderId="1" xfId="0" applyFont="1" applyBorder="1" applyAlignment="1">
      <alignment horizontal="right" vertical="center" wrapText="1"/>
    </xf>
    <xf numFmtId="0" fontId="37" fillId="0" borderId="1" xfId="0" applyFont="1" applyBorder="1" applyAlignment="1">
      <alignment horizontal="left" vertical="center" wrapText="1" indent="5"/>
    </xf>
    <xf numFmtId="1" fontId="0" fillId="2" borderId="1" xfId="0" applyNumberFormat="1" applyFill="1" applyBorder="1" applyAlignment="1" applyProtection="1">
      <alignment horizontal="center" vertical="center"/>
      <protection locked="0"/>
    </xf>
    <xf numFmtId="1" fontId="0" fillId="2" borderId="29" xfId="0" applyNumberFormat="1" applyFill="1" applyBorder="1" applyAlignment="1" applyProtection="1">
      <alignment horizontal="center" vertical="center"/>
      <protection locked="0"/>
    </xf>
    <xf numFmtId="1" fontId="27" fillId="11" borderId="1" xfId="0" applyNumberFormat="1" applyFont="1" applyFill="1" applyBorder="1" applyAlignment="1" applyProtection="1">
      <alignment horizontal="center" vertical="center" wrapText="1"/>
      <protection locked="0"/>
    </xf>
    <xf numFmtId="1" fontId="0" fillId="2" borderId="1" xfId="0" applyNumberFormat="1" applyFont="1" applyFill="1" applyBorder="1" applyAlignment="1" applyProtection="1">
      <alignment horizontal="center" vertical="center" wrapText="1"/>
      <protection locked="0"/>
    </xf>
    <xf numFmtId="1" fontId="13" fillId="2" borderId="1" xfId="0" applyNumberFormat="1" applyFont="1" applyFill="1" applyBorder="1" applyAlignment="1" applyProtection="1">
      <alignment vertical="center"/>
      <protection locked="0"/>
    </xf>
    <xf numFmtId="1" fontId="12" fillId="2" borderId="1" xfId="0" applyNumberFormat="1" applyFont="1" applyFill="1" applyBorder="1" applyAlignment="1" applyProtection="1">
      <alignment horizontal="center" vertical="center"/>
      <protection locked="0"/>
    </xf>
    <xf numFmtId="1" fontId="27" fillId="2" borderId="1" xfId="0" applyNumberFormat="1" applyFont="1" applyFill="1" applyBorder="1" applyAlignment="1" applyProtection="1">
      <alignment horizontal="center" vertical="center" wrapText="1"/>
      <protection locked="0"/>
    </xf>
    <xf numFmtId="1" fontId="0" fillId="2" borderId="29" xfId="0" applyNumberFormat="1" applyFont="1" applyFill="1" applyBorder="1" applyAlignment="1" applyProtection="1">
      <alignment horizontal="center" vertical="center" wrapText="1"/>
      <protection locked="0"/>
    </xf>
    <xf numFmtId="1" fontId="19" fillId="2" borderId="1" xfId="0" applyNumberFormat="1" applyFont="1" applyFill="1" applyBorder="1" applyAlignment="1" applyProtection="1">
      <alignment horizontal="center" vertical="center" wrapText="1"/>
      <protection locked="0"/>
    </xf>
    <xf numFmtId="1" fontId="19" fillId="2" borderId="16" xfId="0" applyNumberFormat="1" applyFont="1" applyFill="1" applyBorder="1" applyAlignment="1" applyProtection="1">
      <alignment horizontal="center" vertical="center" wrapText="1"/>
      <protection locked="0"/>
    </xf>
    <xf numFmtId="0" fontId="19" fillId="2" borderId="1" xfId="0" applyFont="1" applyFill="1" applyBorder="1" applyAlignment="1" applyProtection="1">
      <alignment vertical="center" wrapText="1"/>
      <protection locked="0"/>
    </xf>
    <xf numFmtId="1" fontId="19" fillId="2" borderId="29" xfId="0" applyNumberFormat="1" applyFont="1" applyFill="1" applyBorder="1" applyAlignment="1" applyProtection="1">
      <alignment horizontal="center" vertical="center" wrapText="1"/>
      <protection locked="0"/>
    </xf>
    <xf numFmtId="1" fontId="0" fillId="2" borderId="29" xfId="1" applyNumberFormat="1" applyFont="1" applyFill="1" applyBorder="1" applyAlignment="1" applyProtection="1">
      <alignment horizontal="center" vertical="center"/>
      <protection locked="0"/>
    </xf>
    <xf numFmtId="1" fontId="2" fillId="0" borderId="41" xfId="0" applyNumberFormat="1" applyFont="1" applyFill="1" applyBorder="1" applyAlignment="1">
      <alignment vertical="center" wrapText="1"/>
    </xf>
    <xf numFmtId="1" fontId="2" fillId="0" borderId="67" xfId="0" applyNumberFormat="1" applyFont="1" applyFill="1" applyBorder="1" applyAlignment="1">
      <alignment vertical="center" wrapText="1"/>
    </xf>
    <xf numFmtId="1" fontId="2" fillId="0" borderId="64" xfId="0" applyNumberFormat="1" applyFont="1" applyFill="1" applyBorder="1" applyAlignment="1">
      <alignment vertical="center" wrapText="1"/>
    </xf>
    <xf numFmtId="1" fontId="2" fillId="2" borderId="1" xfId="0" applyNumberFormat="1" applyFont="1" applyFill="1" applyBorder="1" applyAlignment="1" applyProtection="1">
      <alignment vertical="center" wrapText="1"/>
      <protection locked="0"/>
    </xf>
    <xf numFmtId="0" fontId="0" fillId="2" borderId="1" xfId="0" applyFill="1" applyBorder="1" applyProtection="1">
      <protection locked="0"/>
    </xf>
    <xf numFmtId="1" fontId="27" fillId="2" borderId="29" xfId="0" applyNumberFormat="1" applyFont="1" applyFill="1" applyBorder="1" applyAlignment="1" applyProtection="1">
      <alignment horizontal="center"/>
      <protection locked="0"/>
    </xf>
    <xf numFmtId="1" fontId="27" fillId="2" borderId="29" xfId="0" applyNumberFormat="1" applyFont="1" applyFill="1" applyBorder="1" applyAlignment="1" applyProtection="1">
      <alignment horizontal="center" vertical="center" wrapText="1"/>
      <protection locked="0"/>
    </xf>
    <xf numFmtId="1" fontId="18" fillId="2" borderId="1" xfId="0" applyNumberFormat="1" applyFont="1" applyFill="1" applyBorder="1" applyAlignment="1" applyProtection="1">
      <alignment horizontal="center" vertical="center" wrapText="1"/>
      <protection locked="0"/>
    </xf>
    <xf numFmtId="1" fontId="18" fillId="2" borderId="29" xfId="0" applyNumberFormat="1" applyFont="1" applyFill="1" applyBorder="1" applyAlignment="1" applyProtection="1">
      <alignment horizontal="center" vertical="center" wrapText="1"/>
      <protection locked="0"/>
    </xf>
    <xf numFmtId="1" fontId="3" fillId="2" borderId="1" xfId="0" applyNumberFormat="1" applyFont="1" applyFill="1" applyBorder="1" applyAlignment="1" applyProtection="1">
      <alignment horizontal="center" vertical="center" wrapText="1"/>
      <protection locked="0"/>
    </xf>
    <xf numFmtId="1" fontId="3" fillId="2" borderId="29" xfId="0" applyNumberFormat="1" applyFont="1" applyFill="1" applyBorder="1" applyAlignment="1" applyProtection="1">
      <alignment horizontal="center" vertical="center" wrapText="1"/>
      <protection locked="0"/>
    </xf>
    <xf numFmtId="1" fontId="3" fillId="2" borderId="50" xfId="0" applyNumberFormat="1" applyFont="1" applyFill="1" applyBorder="1" applyAlignment="1" applyProtection="1">
      <alignment horizontal="center" vertical="center" wrapText="1"/>
      <protection locked="0"/>
    </xf>
    <xf numFmtId="1" fontId="13" fillId="2" borderId="1" xfId="0" applyNumberFormat="1" applyFont="1" applyFill="1" applyBorder="1" applyAlignment="1">
      <alignment horizontal="center" vertical="center" wrapText="1"/>
    </xf>
    <xf numFmtId="1" fontId="13" fillId="2" borderId="1" xfId="0" applyNumberFormat="1" applyFont="1" applyFill="1" applyBorder="1" applyAlignment="1" applyProtection="1">
      <alignment horizontal="center" vertical="center" wrapText="1"/>
      <protection locked="0"/>
    </xf>
    <xf numFmtId="1" fontId="24" fillId="2" borderId="1" xfId="0" applyNumberFormat="1" applyFont="1" applyFill="1" applyBorder="1" applyAlignment="1" applyProtection="1">
      <alignment horizontal="center" vertical="center" wrapText="1"/>
      <protection locked="0"/>
    </xf>
    <xf numFmtId="0" fontId="4" fillId="2" borderId="8" xfId="0" applyFont="1" applyFill="1" applyBorder="1" applyAlignment="1" applyProtection="1">
      <alignment horizontal="center" vertical="center" wrapText="1"/>
      <protection locked="0"/>
    </xf>
    <xf numFmtId="1" fontId="4" fillId="2" borderId="9" xfId="0" applyNumberFormat="1" applyFont="1" applyFill="1" applyBorder="1" applyAlignment="1" applyProtection="1">
      <alignment horizontal="center" vertical="center" wrapText="1"/>
      <protection locked="0"/>
    </xf>
    <xf numFmtId="0" fontId="4" fillId="2" borderId="11" xfId="0" applyFont="1" applyFill="1" applyBorder="1" applyAlignment="1" applyProtection="1">
      <alignment horizontal="center" vertical="center" wrapText="1"/>
      <protection locked="0"/>
    </xf>
    <xf numFmtId="0" fontId="4" fillId="2" borderId="12" xfId="0" applyFont="1" applyFill="1" applyBorder="1" applyAlignment="1" applyProtection="1">
      <alignment horizontal="center" vertical="center" wrapText="1"/>
      <protection locked="0"/>
    </xf>
    <xf numFmtId="1" fontId="2" fillId="2" borderId="1" xfId="0" applyNumberFormat="1" applyFont="1" applyFill="1" applyBorder="1" applyAlignment="1" applyProtection="1">
      <alignment horizontal="center" vertical="center"/>
      <protection locked="0"/>
    </xf>
    <xf numFmtId="0" fontId="14" fillId="0" borderId="1" xfId="0" applyFont="1" applyFill="1" applyBorder="1" applyAlignment="1">
      <alignment vertical="center" wrapText="1"/>
    </xf>
    <xf numFmtId="0" fontId="0" fillId="10" borderId="1" xfId="0" applyFill="1" applyBorder="1" applyAlignment="1" applyProtection="1">
      <alignment horizontal="center" vertical="center"/>
    </xf>
    <xf numFmtId="0" fontId="0" fillId="10" borderId="1" xfId="0" applyFill="1" applyBorder="1" applyAlignment="1" applyProtection="1">
      <alignment horizontal="center" vertical="center" wrapText="1"/>
    </xf>
    <xf numFmtId="0" fontId="53" fillId="0" borderId="77" xfId="0" applyFont="1" applyBorder="1" applyAlignment="1">
      <alignment vertical="center" wrapText="1"/>
    </xf>
    <xf numFmtId="0" fontId="54" fillId="0" borderId="0" xfId="0" applyFont="1" applyAlignment="1">
      <alignment vertical="center"/>
    </xf>
    <xf numFmtId="0" fontId="55" fillId="0" borderId="0" xfId="0" applyFont="1" applyAlignment="1">
      <alignment horizontal="left" vertical="center"/>
    </xf>
    <xf numFmtId="0" fontId="58" fillId="0" borderId="71" xfId="0" applyFont="1" applyBorder="1" applyAlignment="1">
      <alignment horizontal="justify" vertical="center" wrapText="1"/>
    </xf>
    <xf numFmtId="0" fontId="58" fillId="0" borderId="42" xfId="0" applyFont="1" applyBorder="1" applyAlignment="1">
      <alignment horizontal="justify" vertical="center" wrapText="1"/>
    </xf>
    <xf numFmtId="1" fontId="42" fillId="10" borderId="11" xfId="0" applyNumberFormat="1" applyFont="1" applyFill="1" applyBorder="1" applyAlignment="1">
      <alignment vertical="center" wrapText="1"/>
    </xf>
    <xf numFmtId="0" fontId="17" fillId="2" borderId="29" xfId="0" applyFont="1" applyFill="1" applyBorder="1" applyAlignment="1" applyProtection="1">
      <alignment vertical="center" wrapText="1"/>
      <protection locked="0"/>
    </xf>
    <xf numFmtId="0" fontId="15" fillId="0" borderId="1" xfId="0" applyFont="1" applyBorder="1" applyAlignment="1"/>
    <xf numFmtId="1" fontId="16" fillId="12" borderId="1" xfId="0" applyNumberFormat="1" applyFont="1" applyFill="1" applyBorder="1" applyAlignment="1" applyProtection="1">
      <alignment horizontal="center" vertical="center" wrapText="1"/>
      <protection locked="0"/>
    </xf>
    <xf numFmtId="1" fontId="16" fillId="12" borderId="1" xfId="0" applyNumberFormat="1" applyFont="1" applyFill="1" applyBorder="1" applyAlignment="1" applyProtection="1">
      <alignment horizontal="center" vertical="center"/>
      <protection locked="0"/>
    </xf>
    <xf numFmtId="1" fontId="16" fillId="12" borderId="29" xfId="0" applyNumberFormat="1" applyFont="1" applyFill="1" applyBorder="1" applyAlignment="1" applyProtection="1">
      <alignment horizontal="center" vertical="center" wrapText="1"/>
      <protection locked="0"/>
    </xf>
    <xf numFmtId="1" fontId="16" fillId="12" borderId="29" xfId="0" applyNumberFormat="1" applyFont="1" applyFill="1" applyBorder="1" applyAlignment="1" applyProtection="1">
      <alignment horizontal="center" vertical="center"/>
      <protection locked="0"/>
    </xf>
    <xf numFmtId="1" fontId="10" fillId="12" borderId="1" xfId="0" applyNumberFormat="1" applyFont="1" applyFill="1" applyBorder="1" applyAlignment="1" applyProtection="1">
      <alignment horizontal="center" vertical="center"/>
      <protection locked="0"/>
    </xf>
    <xf numFmtId="2" fontId="36" fillId="0" borderId="1" xfId="0" applyNumberFormat="1" applyFont="1" applyFill="1" applyBorder="1" applyAlignment="1" applyProtection="1">
      <alignment horizontal="center" vertical="top" wrapText="1"/>
    </xf>
    <xf numFmtId="0" fontId="30" fillId="0" borderId="1" xfId="2" applyFont="1" applyFill="1" applyBorder="1" applyAlignment="1">
      <alignment horizontal="left" vertical="center"/>
    </xf>
    <xf numFmtId="0" fontId="30" fillId="0" borderId="1" xfId="2" applyFont="1" applyFill="1" applyBorder="1" applyAlignment="1">
      <alignment horizontal="left" vertical="center" wrapText="1"/>
    </xf>
    <xf numFmtId="0" fontId="45" fillId="0" borderId="1" xfId="2" applyFont="1" applyFill="1" applyBorder="1" applyAlignment="1">
      <alignment horizontal="left" vertical="center"/>
    </xf>
    <xf numFmtId="0" fontId="4" fillId="0" borderId="0" xfId="0" applyFont="1" applyBorder="1" applyAlignment="1">
      <alignment horizontal="center"/>
    </xf>
    <xf numFmtId="0" fontId="3" fillId="0" borderId="0" xfId="0" applyFont="1" applyBorder="1" applyAlignment="1">
      <alignment horizontal="left" vertical="center" wrapText="1"/>
    </xf>
    <xf numFmtId="1" fontId="3" fillId="0" borderId="0" xfId="0" applyNumberFormat="1" applyFont="1" applyBorder="1" applyAlignment="1">
      <alignment horizontal="center" vertical="center" wrapText="1"/>
    </xf>
    <xf numFmtId="1" fontId="3" fillId="0" borderId="0" xfId="0" applyNumberFormat="1" applyFont="1" applyFill="1" applyBorder="1" applyAlignment="1">
      <alignment horizontal="center" vertical="center" wrapText="1"/>
    </xf>
    <xf numFmtId="0" fontId="3" fillId="0" borderId="0" xfId="0" applyFont="1" applyFill="1" applyBorder="1" applyAlignment="1">
      <alignment horizontal="center" vertical="center" wrapText="1"/>
    </xf>
    <xf numFmtId="9" fontId="30" fillId="0" borderId="0" xfId="1" applyFont="1" applyBorder="1" applyAlignment="1">
      <alignment horizontal="center" vertical="center"/>
    </xf>
    <xf numFmtId="1" fontId="4" fillId="0" borderId="0" xfId="0" applyNumberFormat="1" applyFont="1" applyBorder="1" applyAlignment="1">
      <alignment horizontal="center" vertical="center"/>
    </xf>
    <xf numFmtId="0" fontId="30" fillId="8" borderId="0" xfId="0" applyFont="1" applyFill="1" applyBorder="1" applyAlignment="1">
      <alignment horizontal="center" wrapText="1"/>
    </xf>
    <xf numFmtId="0" fontId="4" fillId="0" borderId="0" xfId="0" applyFont="1" applyBorder="1" applyAlignment="1">
      <alignment horizontal="left"/>
    </xf>
    <xf numFmtId="1" fontId="3" fillId="0" borderId="1" xfId="0" applyNumberFormat="1" applyFont="1" applyBorder="1" applyAlignment="1">
      <alignment horizontal="center" vertical="center" wrapText="1"/>
    </xf>
    <xf numFmtId="0" fontId="3" fillId="12" borderId="1" xfId="0" applyFont="1" applyFill="1" applyBorder="1" applyAlignment="1" applyProtection="1">
      <alignment horizontal="center" vertical="center" wrapText="1"/>
      <protection locked="0"/>
    </xf>
    <xf numFmtId="1" fontId="3" fillId="12" borderId="1" xfId="0" applyNumberFormat="1" applyFont="1" applyFill="1" applyBorder="1" applyAlignment="1" applyProtection="1">
      <alignment horizontal="center" vertical="center" wrapText="1"/>
      <protection locked="0"/>
    </xf>
    <xf numFmtId="0" fontId="0" fillId="12" borderId="1" xfId="0" applyFill="1" applyBorder="1" applyAlignment="1" applyProtection="1">
      <alignment horizontal="center" vertical="center" wrapText="1"/>
      <protection locked="0"/>
    </xf>
    <xf numFmtId="0" fontId="15" fillId="0" borderId="0" xfId="0" applyFont="1" applyBorder="1" applyAlignment="1">
      <alignment horizontal="left"/>
    </xf>
    <xf numFmtId="0" fontId="0" fillId="0" borderId="0" xfId="0" applyBorder="1" applyAlignment="1">
      <alignment horizontal="left"/>
    </xf>
    <xf numFmtId="0" fontId="18" fillId="0" borderId="9" xfId="0" applyFont="1" applyBorder="1" applyAlignment="1">
      <alignment horizontal="center" vertical="center" wrapText="1"/>
    </xf>
    <xf numFmtId="0" fontId="18" fillId="0" borderId="1" xfId="0" applyFont="1" applyBorder="1" applyAlignment="1">
      <alignment horizontal="center" vertical="center" wrapText="1"/>
    </xf>
    <xf numFmtId="0" fontId="0" fillId="0" borderId="1" xfId="0" applyBorder="1" applyAlignment="1">
      <alignment horizont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29" xfId="0" applyFont="1" applyBorder="1" applyAlignment="1">
      <alignment horizontal="left" vertical="center" wrapText="1"/>
    </xf>
    <xf numFmtId="0" fontId="4" fillId="0" borderId="9" xfId="0" applyFont="1" applyBorder="1" applyAlignment="1">
      <alignment horizontal="center" vertical="center" wrapText="1"/>
    </xf>
    <xf numFmtId="0" fontId="3" fillId="0" borderId="11" xfId="0" applyFont="1" applyBorder="1" applyAlignment="1">
      <alignment horizontal="left" vertical="center" wrapText="1"/>
    </xf>
    <xf numFmtId="0" fontId="30" fillId="0" borderId="0" xfId="0" applyFont="1" applyFill="1" applyBorder="1" applyAlignment="1">
      <alignment horizontal="left" vertical="center" wrapText="1"/>
    </xf>
    <xf numFmtId="0" fontId="6" fillId="0" borderId="0" xfId="0" applyFont="1" applyAlignment="1">
      <alignment wrapText="1"/>
    </xf>
    <xf numFmtId="0" fontId="6" fillId="2" borderId="0" xfId="0" applyFont="1" applyFill="1" applyAlignment="1">
      <alignment horizontal="center" wrapText="1"/>
    </xf>
    <xf numFmtId="0" fontId="6" fillId="0" borderId="0" xfId="0" applyFont="1" applyAlignment="1"/>
    <xf numFmtId="0" fontId="6" fillId="2" borderId="0" xfId="0" applyFont="1" applyFill="1" applyAlignment="1">
      <alignment horizontal="center" vertical="center"/>
    </xf>
    <xf numFmtId="0" fontId="7" fillId="0" borderId="0" xfId="0" applyFont="1" applyFill="1" applyAlignment="1">
      <alignment horizontal="center"/>
    </xf>
    <xf numFmtId="0" fontId="8" fillId="0" borderId="0" xfId="0" applyFont="1" applyAlignment="1">
      <alignment wrapText="1"/>
    </xf>
    <xf numFmtId="0" fontId="8" fillId="2" borderId="0" xfId="0" applyFont="1" applyFill="1" applyAlignment="1">
      <alignment horizontal="center" wrapText="1"/>
    </xf>
    <xf numFmtId="0" fontId="8" fillId="0" borderId="0" xfId="0" applyFont="1" applyFill="1" applyAlignment="1">
      <alignment wrapText="1"/>
    </xf>
    <xf numFmtId="0" fontId="8" fillId="0" borderId="0" xfId="0" applyFont="1" applyFill="1" applyAlignment="1">
      <alignment horizontal="center" wrapText="1"/>
    </xf>
    <xf numFmtId="0" fontId="0" fillId="0" borderId="5" xfId="0" applyBorder="1" applyAlignment="1">
      <alignment wrapText="1"/>
    </xf>
    <xf numFmtId="0" fontId="0" fillId="0" borderId="6" xfId="0" applyBorder="1" applyAlignment="1">
      <alignment wrapText="1"/>
    </xf>
    <xf numFmtId="0" fontId="0" fillId="0" borderId="8" xfId="0" applyBorder="1" applyAlignment="1">
      <alignment wrapText="1"/>
    </xf>
    <xf numFmtId="0" fontId="0" fillId="0" borderId="13" xfId="0" applyBorder="1" applyAlignment="1">
      <alignment wrapText="1"/>
    </xf>
    <xf numFmtId="0" fontId="0" fillId="0" borderId="15" xfId="0" applyBorder="1" applyAlignment="1">
      <alignment wrapText="1"/>
    </xf>
    <xf numFmtId="0" fontId="0" fillId="0" borderId="23" xfId="0" applyBorder="1" applyAlignment="1">
      <alignment wrapText="1"/>
    </xf>
    <xf numFmtId="1" fontId="13" fillId="4" borderId="1" xfId="0" applyNumberFormat="1" applyFont="1" applyFill="1" applyBorder="1" applyAlignment="1">
      <alignment horizontal="center" vertical="center"/>
    </xf>
    <xf numFmtId="0" fontId="13" fillId="0" borderId="1" xfId="0" applyFont="1" applyBorder="1" applyAlignment="1">
      <alignment horizontal="center" vertical="center"/>
    </xf>
    <xf numFmtId="0" fontId="27" fillId="2" borderId="1" xfId="0" applyFont="1" applyFill="1" applyBorder="1" applyAlignment="1">
      <alignment horizontal="center" vertical="center"/>
    </xf>
    <xf numFmtId="0" fontId="27" fillId="8" borderId="1" xfId="0" applyFont="1" applyFill="1" applyBorder="1" applyAlignment="1">
      <alignment horizontal="center" vertical="center"/>
    </xf>
    <xf numFmtId="1" fontId="27" fillId="2" borderId="1" xfId="0" applyNumberFormat="1" applyFont="1" applyFill="1" applyBorder="1" applyAlignment="1">
      <alignment horizontal="center" vertical="center"/>
    </xf>
    <xf numFmtId="0" fontId="11" fillId="8" borderId="1" xfId="0" applyFont="1" applyFill="1" applyBorder="1" applyAlignment="1">
      <alignment horizontal="center" vertical="center"/>
    </xf>
    <xf numFmtId="0" fontId="11" fillId="8" borderId="29" xfId="0" applyFont="1" applyFill="1" applyBorder="1" applyAlignment="1">
      <alignment horizontal="center" vertical="center"/>
    </xf>
    <xf numFmtId="0" fontId="27" fillId="2" borderId="29" xfId="0" applyFont="1" applyFill="1" applyBorder="1" applyAlignment="1">
      <alignment horizontal="center" vertical="center"/>
    </xf>
    <xf numFmtId="0" fontId="0" fillId="0" borderId="33" xfId="0" applyFont="1" applyFill="1" applyBorder="1" applyAlignment="1">
      <alignment horizontal="center" vertical="center" wrapText="1"/>
    </xf>
    <xf numFmtId="0" fontId="14" fillId="0" borderId="29" xfId="0" applyFont="1" applyBorder="1" applyAlignment="1">
      <alignment horizontal="center" vertical="center"/>
    </xf>
    <xf numFmtId="0" fontId="13" fillId="8" borderId="1" xfId="0" applyFont="1" applyFill="1" applyBorder="1" applyAlignment="1">
      <alignment vertical="center"/>
    </xf>
    <xf numFmtId="0" fontId="13" fillId="8" borderId="29" xfId="0" applyFont="1" applyFill="1" applyBorder="1" applyAlignment="1">
      <alignment vertical="center"/>
    </xf>
    <xf numFmtId="0" fontId="13" fillId="0" borderId="36" xfId="0" applyFont="1" applyBorder="1" applyAlignment="1">
      <alignment horizontal="center" vertical="center"/>
    </xf>
    <xf numFmtId="0" fontId="2" fillId="0" borderId="23" xfId="0" applyFont="1" applyBorder="1" applyAlignment="1">
      <alignment wrapText="1"/>
    </xf>
    <xf numFmtId="0" fontId="2" fillId="0" borderId="0" xfId="0" applyFont="1" applyBorder="1" applyAlignment="1">
      <alignment wrapText="1"/>
    </xf>
    <xf numFmtId="0" fontId="5" fillId="0" borderId="0" xfId="0" applyFont="1" applyBorder="1" applyAlignment="1">
      <alignment horizontal="center" wrapText="1"/>
    </xf>
    <xf numFmtId="1" fontId="16" fillId="2" borderId="1" xfId="0" applyNumberFormat="1" applyFont="1" applyFill="1" applyBorder="1" applyAlignment="1">
      <alignment horizontal="center" vertical="center" wrapText="1"/>
    </xf>
    <xf numFmtId="1" fontId="16" fillId="2" borderId="1" xfId="0" applyNumberFormat="1" applyFont="1" applyFill="1" applyBorder="1" applyAlignment="1">
      <alignment horizontal="center" vertical="center"/>
    </xf>
    <xf numFmtId="1" fontId="16" fillId="2" borderId="29" xfId="0" applyNumberFormat="1" applyFont="1" applyFill="1" applyBorder="1" applyAlignment="1">
      <alignment horizontal="center" vertical="center" wrapText="1"/>
    </xf>
    <xf numFmtId="1" fontId="16" fillId="2" borderId="29" xfId="0" applyNumberFormat="1" applyFont="1" applyFill="1" applyBorder="1" applyAlignment="1">
      <alignment horizontal="center" vertical="center"/>
    </xf>
    <xf numFmtId="0" fontId="12" fillId="0" borderId="0" xfId="0" applyFont="1" applyBorder="1" applyAlignment="1">
      <alignment horizontal="right" wrapText="1"/>
    </xf>
    <xf numFmtId="0" fontId="0" fillId="0" borderId="0" xfId="0" applyBorder="1" applyAlignment="1">
      <alignment horizontal="right" wrapText="1"/>
    </xf>
    <xf numFmtId="0" fontId="18" fillId="0" borderId="5" xfId="0" applyFont="1" applyBorder="1" applyAlignment="1">
      <alignment wrapText="1"/>
    </xf>
    <xf numFmtId="0" fontId="18" fillId="0" borderId="6" xfId="0" applyFont="1" applyBorder="1" applyAlignment="1">
      <alignment wrapText="1"/>
    </xf>
    <xf numFmtId="0" fontId="59" fillId="0" borderId="9" xfId="0" applyFont="1" applyBorder="1" applyAlignment="1">
      <alignment horizontal="center" vertical="center" wrapText="1"/>
    </xf>
    <xf numFmtId="1" fontId="19" fillId="2" borderId="29" xfId="0" applyNumberFormat="1" applyFont="1" applyFill="1" applyBorder="1" applyAlignment="1">
      <alignment horizontal="center" vertical="center"/>
    </xf>
    <xf numFmtId="1" fontId="17" fillId="2" borderId="29" xfId="0" applyNumberFormat="1" applyFont="1" applyFill="1" applyBorder="1" applyAlignment="1">
      <alignment horizontal="center" vertical="center" wrapText="1"/>
    </xf>
    <xf numFmtId="0" fontId="21" fillId="0" borderId="36" xfId="0" applyFont="1" applyBorder="1" applyAlignment="1">
      <alignment horizontal="center" vertical="center"/>
    </xf>
    <xf numFmtId="0" fontId="7" fillId="0" borderId="0" xfId="0" applyFont="1" applyFill="1" applyBorder="1" applyAlignment="1">
      <alignment horizontal="center" wrapText="1"/>
    </xf>
    <xf numFmtId="0" fontId="0" fillId="0" borderId="5" xfId="0" applyBorder="1" applyAlignment="1">
      <alignment horizontal="center" wrapText="1"/>
    </xf>
    <xf numFmtId="0" fontId="0" fillId="0" borderId="6" xfId="0" applyBorder="1" applyAlignment="1">
      <alignment horizontal="center" wrapText="1"/>
    </xf>
    <xf numFmtId="0" fontId="0" fillId="0" borderId="39" xfId="0" applyBorder="1" applyAlignment="1">
      <alignment wrapText="1"/>
    </xf>
    <xf numFmtId="0" fontId="0" fillId="0" borderId="39" xfId="0" applyBorder="1" applyAlignment="1">
      <alignment horizontal="right" wrapText="1"/>
    </xf>
    <xf numFmtId="0" fontId="11" fillId="0" borderId="0" xfId="0" applyFont="1" applyFill="1" applyBorder="1" applyAlignment="1">
      <alignment horizontal="right" wrapText="1"/>
    </xf>
    <xf numFmtId="0" fontId="0" fillId="0" borderId="23" xfId="0" applyBorder="1" applyAlignment="1">
      <alignment horizontal="center" wrapText="1"/>
    </xf>
    <xf numFmtId="1" fontId="0" fillId="0" borderId="1" xfId="0" applyNumberFormat="1" applyFill="1" applyBorder="1" applyAlignment="1">
      <alignment horizontal="center" vertical="center"/>
    </xf>
    <xf numFmtId="0" fontId="25" fillId="0" borderId="23" xfId="0" applyFont="1" applyBorder="1" applyAlignment="1">
      <alignment vertical="center" wrapText="1"/>
    </xf>
    <xf numFmtId="1" fontId="0" fillId="2" borderId="29" xfId="0" applyNumberFormat="1" applyFont="1" applyFill="1" applyBorder="1" applyAlignment="1">
      <alignment horizontal="center" vertical="center" wrapText="1"/>
    </xf>
    <xf numFmtId="0" fontId="28" fillId="0" borderId="0" xfId="0" applyFont="1" applyAlignment="1">
      <alignment horizontal="left" vertical="center" wrapText="1"/>
    </xf>
    <xf numFmtId="0" fontId="25" fillId="0" borderId="0" xfId="0" applyFont="1" applyAlignment="1">
      <alignment vertical="center" wrapText="1"/>
    </xf>
    <xf numFmtId="0" fontId="19" fillId="5" borderId="20" xfId="0" applyFont="1" applyFill="1" applyBorder="1" applyAlignment="1">
      <alignment horizontal="center" vertical="center" wrapText="1"/>
    </xf>
    <xf numFmtId="1" fontId="19" fillId="2" borderId="1" xfId="0" applyNumberFormat="1" applyFont="1" applyFill="1" applyBorder="1" applyAlignment="1">
      <alignment horizontal="center" vertical="center" wrapText="1"/>
    </xf>
    <xf numFmtId="1" fontId="19" fillId="2" borderId="16" xfId="0" applyNumberFormat="1" applyFont="1" applyFill="1" applyBorder="1" applyAlignment="1">
      <alignment horizontal="center" vertical="center" wrapText="1"/>
    </xf>
    <xf numFmtId="1" fontId="0" fillId="2" borderId="1" xfId="1" applyNumberFormat="1" applyFont="1" applyFill="1" applyBorder="1" applyAlignment="1">
      <alignment horizontal="center" vertical="center"/>
    </xf>
    <xf numFmtId="0" fontId="0" fillId="0" borderId="23" xfId="0" applyFill="1" applyBorder="1" applyAlignment="1">
      <alignment wrapText="1"/>
    </xf>
    <xf numFmtId="0" fontId="30" fillId="0" borderId="13" xfId="0" applyFont="1" applyFill="1" applyBorder="1" applyAlignment="1">
      <alignment wrapText="1"/>
    </xf>
    <xf numFmtId="0" fontId="18" fillId="2" borderId="13" xfId="0" applyFont="1" applyFill="1" applyBorder="1" applyAlignment="1">
      <alignment vertical="center" wrapText="1"/>
    </xf>
    <xf numFmtId="0" fontId="2" fillId="0" borderId="48" xfId="0" applyFont="1" applyBorder="1" applyAlignment="1">
      <alignment horizontal="right" wrapText="1"/>
    </xf>
    <xf numFmtId="1" fontId="13" fillId="0" borderId="36" xfId="0" applyNumberFormat="1" applyFont="1" applyBorder="1" applyAlignment="1">
      <alignment horizontal="center" vertical="center" wrapText="1"/>
    </xf>
    <xf numFmtId="0" fontId="0" fillId="0" borderId="0" xfId="0" applyFill="1" applyBorder="1" applyAlignment="1">
      <alignment wrapText="1"/>
    </xf>
    <xf numFmtId="0" fontId="0" fillId="5" borderId="1" xfId="0" applyFill="1" applyBorder="1" applyAlignment="1">
      <alignment horizontal="center" vertical="center" wrapText="1"/>
    </xf>
    <xf numFmtId="0" fontId="12" fillId="0" borderId="13" xfId="0" applyFont="1" applyBorder="1" applyAlignment="1">
      <alignment horizontal="left" vertical="center" wrapText="1"/>
    </xf>
    <xf numFmtId="0" fontId="18" fillId="2" borderId="23" xfId="0" applyFont="1" applyFill="1" applyBorder="1" applyAlignment="1">
      <alignment vertical="center" wrapText="1"/>
    </xf>
    <xf numFmtId="0" fontId="12" fillId="0" borderId="23" xfId="0" applyFont="1" applyBorder="1" applyAlignment="1">
      <alignment horizontal="center" vertical="center" wrapText="1"/>
    </xf>
    <xf numFmtId="1" fontId="18" fillId="2" borderId="1" xfId="0" applyNumberFormat="1" applyFont="1" applyFill="1" applyBorder="1" applyAlignment="1">
      <alignment horizontal="center" vertical="center" wrapText="1"/>
    </xf>
    <xf numFmtId="1" fontId="16" fillId="0" borderId="16" xfId="0" applyNumberFormat="1" applyFont="1" applyBorder="1" applyAlignment="1">
      <alignment horizontal="center" vertical="center" wrapText="1"/>
    </xf>
    <xf numFmtId="0" fontId="30" fillId="0" borderId="0" xfId="0" applyFont="1" applyBorder="1" applyAlignment="1">
      <alignment wrapText="1"/>
    </xf>
    <xf numFmtId="0" fontId="4" fillId="0" borderId="48" xfId="0" applyFont="1" applyBorder="1" applyAlignment="1">
      <alignment horizontal="center" wrapText="1"/>
    </xf>
    <xf numFmtId="0" fontId="4" fillId="0" borderId="60" xfId="0" applyFont="1" applyFill="1" applyBorder="1" applyAlignment="1">
      <alignment horizontal="center" wrapText="1"/>
    </xf>
    <xf numFmtId="0" fontId="27" fillId="0" borderId="1" xfId="0" applyFont="1" applyBorder="1" applyAlignment="1">
      <alignment horizontal="center"/>
    </xf>
    <xf numFmtId="0" fontId="0" fillId="0" borderId="1" xfId="0" applyFill="1" applyBorder="1" applyAlignment="1">
      <alignment wrapText="1"/>
    </xf>
    <xf numFmtId="0" fontId="0" fillId="0" borderId="1" xfId="0" applyFill="1" applyBorder="1"/>
    <xf numFmtId="0" fontId="7" fillId="3" borderId="0" xfId="0" applyFont="1" applyFill="1" applyBorder="1" applyAlignment="1">
      <alignment horizontal="center" vertical="center" wrapText="1"/>
    </xf>
    <xf numFmtId="0" fontId="37" fillId="0" borderId="1" xfId="0" applyFont="1" applyBorder="1" applyAlignment="1">
      <alignment horizontal="center" vertical="center" wrapText="1"/>
    </xf>
    <xf numFmtId="0" fontId="5" fillId="9" borderId="23" xfId="0" applyFont="1" applyFill="1" applyBorder="1" applyAlignment="1">
      <alignment horizontal="left"/>
    </xf>
    <xf numFmtId="0" fontId="5" fillId="9" borderId="0" xfId="0" applyFont="1" applyFill="1" applyBorder="1" applyAlignment="1">
      <alignment horizontal="left"/>
    </xf>
    <xf numFmtId="1" fontId="27" fillId="2" borderId="1" xfId="0" applyNumberFormat="1" applyFont="1" applyFill="1" applyBorder="1" applyAlignment="1">
      <alignment horizontal="center" vertical="center" wrapText="1"/>
    </xf>
    <xf numFmtId="1" fontId="27" fillId="2" borderId="29" xfId="0" applyNumberFormat="1" applyFont="1" applyFill="1" applyBorder="1" applyAlignment="1">
      <alignment horizontal="center" vertical="center" wrapText="1"/>
    </xf>
    <xf numFmtId="1" fontId="19" fillId="2" borderId="1" xfId="0" applyNumberFormat="1" applyFont="1" applyFill="1" applyBorder="1" applyAlignment="1">
      <alignment horizontal="center" vertical="center"/>
    </xf>
    <xf numFmtId="0" fontId="0" fillId="12" borderId="1" xfId="0" applyFill="1" applyBorder="1" applyAlignment="1">
      <alignment horizontal="center" vertical="center" wrapText="1"/>
    </xf>
    <xf numFmtId="1" fontId="0" fillId="12" borderId="1" xfId="0" applyNumberFormat="1" applyFill="1" applyBorder="1" applyAlignment="1">
      <alignment horizontal="center" vertical="center" wrapText="1"/>
    </xf>
    <xf numFmtId="1" fontId="13" fillId="12" borderId="1" xfId="0" applyNumberFormat="1" applyFont="1" applyFill="1" applyBorder="1" applyAlignment="1" applyProtection="1">
      <alignment horizontal="center" vertical="center"/>
      <protection locked="0"/>
    </xf>
    <xf numFmtId="0" fontId="5" fillId="3" borderId="0" xfId="0" applyFont="1" applyFill="1" applyBorder="1" applyAlignment="1">
      <alignment horizontal="center"/>
    </xf>
    <xf numFmtId="0" fontId="60" fillId="8" borderId="1" xfId="0" applyFont="1" applyFill="1" applyBorder="1" applyAlignment="1">
      <alignment horizontal="center" vertical="center"/>
    </xf>
    <xf numFmtId="0" fontId="17" fillId="12" borderId="33" xfId="0" applyFont="1" applyFill="1" applyBorder="1" applyAlignment="1" applyProtection="1">
      <alignment vertical="center" wrapText="1"/>
      <protection locked="0"/>
    </xf>
    <xf numFmtId="0" fontId="48" fillId="0" borderId="1" xfId="0" applyFont="1" applyBorder="1" applyAlignment="1">
      <alignment horizontal="center" vertical="center" wrapText="1"/>
    </xf>
    <xf numFmtId="0" fontId="5" fillId="9" borderId="44" xfId="0" applyFont="1" applyFill="1" applyBorder="1" applyAlignment="1"/>
    <xf numFmtId="0" fontId="5" fillId="9" borderId="45" xfId="0" applyFont="1" applyFill="1" applyBorder="1" applyAlignment="1"/>
    <xf numFmtId="0" fontId="0" fillId="10" borderId="0" xfId="0" applyFill="1" applyAlignment="1">
      <alignment wrapText="1"/>
    </xf>
    <xf numFmtId="0" fontId="0" fillId="10" borderId="0" xfId="0" applyFill="1"/>
    <xf numFmtId="0" fontId="0" fillId="10" borderId="0" xfId="0" applyFill="1" applyBorder="1"/>
    <xf numFmtId="0" fontId="5" fillId="9" borderId="44" xfId="0" applyFont="1" applyFill="1" applyBorder="1" applyAlignment="1">
      <alignment vertical="center"/>
    </xf>
    <xf numFmtId="0" fontId="5" fillId="9" borderId="45" xfId="0" applyFont="1" applyFill="1" applyBorder="1" applyAlignment="1">
      <alignment vertical="center"/>
    </xf>
    <xf numFmtId="0" fontId="5" fillId="9" borderId="53" xfId="0" applyFont="1" applyFill="1" applyBorder="1" applyAlignment="1"/>
    <xf numFmtId="0" fontId="5" fillId="9" borderId="25" xfId="0" applyFont="1" applyFill="1" applyBorder="1" applyAlignment="1"/>
    <xf numFmtId="0" fontId="4" fillId="0" borderId="34" xfId="0" applyFont="1" applyBorder="1" applyAlignment="1"/>
    <xf numFmtId="1" fontId="0" fillId="2" borderId="1" xfId="0" applyNumberFormat="1" applyFill="1" applyBorder="1" applyAlignment="1">
      <alignment vertical="center"/>
    </xf>
    <xf numFmtId="0" fontId="4" fillId="0" borderId="11" xfId="0" applyFont="1" applyBorder="1" applyAlignment="1">
      <alignment vertical="center" wrapText="1"/>
    </xf>
    <xf numFmtId="0" fontId="14" fillId="0" borderId="11" xfId="0" applyFont="1" applyBorder="1" applyAlignment="1">
      <alignment horizontal="center" vertical="center" wrapText="1"/>
    </xf>
    <xf numFmtId="14" fontId="0" fillId="0" borderId="0" xfId="0" applyNumberFormat="1"/>
    <xf numFmtId="0" fontId="13"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0" fillId="0" borderId="13" xfId="0" applyBorder="1" applyAlignment="1">
      <alignment horizontal="center" vertical="center" wrapText="1"/>
    </xf>
    <xf numFmtId="0" fontId="0" fillId="0" borderId="1" xfId="0" applyBorder="1" applyAlignment="1">
      <alignment horizontal="center" vertical="center" wrapText="1"/>
    </xf>
    <xf numFmtId="1" fontId="18" fillId="2" borderId="1" xfId="0" applyNumberFormat="1" applyFont="1" applyFill="1" applyBorder="1" applyAlignment="1" applyProtection="1">
      <alignment horizontal="center" vertical="center"/>
      <protection locked="0"/>
    </xf>
    <xf numFmtId="0" fontId="16"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17" fillId="0" borderId="1" xfId="0" applyFont="1" applyBorder="1" applyAlignment="1">
      <alignment horizontal="center" vertical="center" wrapText="1"/>
    </xf>
    <xf numFmtId="1" fontId="17" fillId="0" borderId="1" xfId="0" applyNumberFormat="1" applyFont="1" applyFill="1" applyBorder="1" applyAlignment="1">
      <alignment horizontal="center" vertical="center"/>
    </xf>
    <xf numFmtId="1" fontId="19" fillId="2" borderId="1" xfId="0" applyNumberFormat="1" applyFont="1" applyFill="1" applyBorder="1" applyAlignment="1" applyProtection="1">
      <alignment horizontal="center" vertical="center"/>
      <protection locked="0"/>
    </xf>
    <xf numFmtId="0" fontId="18" fillId="0" borderId="1" xfId="0" applyFont="1" applyBorder="1" applyAlignment="1">
      <alignment horizontal="center" vertical="center" wrapText="1"/>
    </xf>
    <xf numFmtId="0" fontId="0" fillId="2" borderId="1" xfId="0" applyFill="1" applyBorder="1" applyAlignment="1">
      <alignment horizontal="center" vertical="center" wrapText="1"/>
    </xf>
    <xf numFmtId="0" fontId="0" fillId="2" borderId="29" xfId="0" applyFill="1" applyBorder="1" applyAlignment="1">
      <alignment horizontal="center" vertical="center" wrapText="1"/>
    </xf>
    <xf numFmtId="0" fontId="19" fillId="0" borderId="13" xfId="0" applyFont="1" applyBorder="1" applyAlignment="1">
      <alignment horizontal="left" vertical="center" wrapText="1"/>
    </xf>
    <xf numFmtId="0" fontId="10" fillId="5" borderId="1" xfId="0" applyFont="1" applyFill="1" applyBorder="1" applyAlignment="1">
      <alignment horizontal="center" vertical="center" wrapText="1"/>
    </xf>
    <xf numFmtId="0" fontId="10" fillId="5" borderId="13" xfId="0" applyFont="1" applyFill="1" applyBorder="1" applyAlignment="1">
      <alignment horizontal="left" vertical="center" wrapText="1"/>
    </xf>
    <xf numFmtId="0" fontId="19" fillId="5" borderId="1" xfId="0" applyFont="1" applyFill="1" applyBorder="1" applyAlignment="1">
      <alignment horizontal="center" vertical="center" wrapText="1"/>
    </xf>
    <xf numFmtId="0" fontId="19" fillId="0" borderId="13" xfId="0" applyFont="1" applyBorder="1" applyAlignment="1">
      <alignment horizontal="center" vertical="center" wrapText="1"/>
    </xf>
    <xf numFmtId="0" fontId="19" fillId="2" borderId="1" xfId="0" applyFont="1" applyFill="1" applyBorder="1" applyAlignment="1" applyProtection="1">
      <alignment horizontal="center" vertical="center" wrapText="1"/>
      <protection locked="0"/>
    </xf>
    <xf numFmtId="1" fontId="19" fillId="5" borderId="1" xfId="0" applyNumberFormat="1" applyFont="1" applyFill="1" applyBorder="1" applyAlignment="1">
      <alignment horizontal="center" vertical="center" wrapText="1"/>
    </xf>
    <xf numFmtId="1" fontId="19" fillId="8" borderId="1" xfId="0" applyNumberFormat="1" applyFont="1" applyFill="1" applyBorder="1" applyAlignment="1">
      <alignment horizontal="center" vertical="center" wrapText="1"/>
    </xf>
    <xf numFmtId="0" fontId="0" fillId="0" borderId="1" xfId="0" applyFill="1" applyBorder="1" applyAlignment="1">
      <alignment horizontal="center" vertical="center" wrapText="1"/>
    </xf>
    <xf numFmtId="1" fontId="13" fillId="0" borderId="29" xfId="0" applyNumberFormat="1" applyFont="1" applyBorder="1" applyAlignment="1">
      <alignment horizontal="center" vertical="center"/>
    </xf>
    <xf numFmtId="1" fontId="13" fillId="0" borderId="1" xfId="0" applyNumberFormat="1" applyFont="1" applyBorder="1" applyAlignment="1">
      <alignment horizontal="center" vertical="center"/>
    </xf>
    <xf numFmtId="1" fontId="16" fillId="0" borderId="36"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0" fillId="0" borderId="0" xfId="0" applyBorder="1" applyAlignment="1">
      <alignment horizontal="center" wrapText="1"/>
    </xf>
    <xf numFmtId="0" fontId="19" fillId="12" borderId="1" xfId="0" applyFont="1" applyFill="1" applyBorder="1" applyAlignment="1">
      <alignment horizontal="center" vertical="center" wrapText="1"/>
    </xf>
    <xf numFmtId="1" fontId="18" fillId="2" borderId="1" xfId="0" applyNumberFormat="1" applyFont="1" applyFill="1" applyBorder="1" applyAlignment="1">
      <alignment horizontal="center" vertical="center"/>
    </xf>
    <xf numFmtId="0" fontId="0" fillId="2" borderId="1" xfId="0" applyFill="1" applyBorder="1" applyAlignment="1">
      <alignment horizontal="center" vertical="center"/>
    </xf>
    <xf numFmtId="0" fontId="0" fillId="2" borderId="29" xfId="0" applyFill="1" applyBorder="1" applyAlignment="1">
      <alignment horizontal="center" vertical="center"/>
    </xf>
    <xf numFmtId="1" fontId="13" fillId="0" borderId="29" xfId="0" applyNumberFormat="1" applyFont="1" applyBorder="1" applyAlignment="1">
      <alignment horizontal="center" vertical="center" wrapText="1"/>
    </xf>
    <xf numFmtId="1" fontId="19" fillId="2" borderId="1" xfId="0" applyNumberFormat="1" applyFont="1" applyFill="1" applyBorder="1" applyAlignment="1">
      <alignment horizontal="center" vertical="center" wrapText="1"/>
    </xf>
    <xf numFmtId="1" fontId="19" fillId="2" borderId="14" xfId="0" applyNumberFormat="1" applyFont="1" applyFill="1" applyBorder="1" applyAlignment="1">
      <alignment horizontal="center" vertical="center" wrapText="1"/>
    </xf>
    <xf numFmtId="0" fontId="0" fillId="0" borderId="0" xfId="0" applyBorder="1" applyAlignment="1">
      <alignment horizontal="center" vertical="center" wrapText="1"/>
    </xf>
    <xf numFmtId="1" fontId="5" fillId="0" borderId="17" xfId="0" applyNumberFormat="1" applyFont="1" applyBorder="1" applyAlignment="1">
      <alignment vertical="center"/>
    </xf>
    <xf numFmtId="0" fontId="0" fillId="0" borderId="0" xfId="0" applyBorder="1" applyAlignment="1">
      <alignment horizontal="center"/>
    </xf>
    <xf numFmtId="0" fontId="24" fillId="0" borderId="1" xfId="0" applyFont="1" applyBorder="1"/>
    <xf numFmtId="0" fontId="28" fillId="0" borderId="50" xfId="0" applyFont="1" applyFill="1" applyBorder="1" applyAlignment="1">
      <alignment vertical="center" wrapText="1"/>
    </xf>
    <xf numFmtId="0" fontId="61" fillId="0" borderId="50" xfId="0" applyFont="1" applyFill="1" applyBorder="1" applyAlignment="1">
      <alignment vertical="center" wrapText="1"/>
    </xf>
    <xf numFmtId="0" fontId="12" fillId="0" borderId="1" xfId="0" applyFont="1" applyBorder="1" applyAlignment="1">
      <alignment horizontal="center" vertical="center" wrapText="1"/>
    </xf>
    <xf numFmtId="0" fontId="0" fillId="0" borderId="1" xfId="0" applyBorder="1" applyAlignment="1">
      <alignment horizontal="center" vertical="center" wrapText="1"/>
    </xf>
    <xf numFmtId="1" fontId="13" fillId="0" borderId="1" xfId="0" applyNumberFormat="1" applyFont="1" applyBorder="1" applyAlignment="1">
      <alignment horizontal="center" vertical="center"/>
    </xf>
    <xf numFmtId="0" fontId="13" fillId="0" borderId="1" xfId="0" applyFont="1" applyBorder="1" applyAlignment="1">
      <alignment horizontal="center" vertical="center" wrapText="1"/>
    </xf>
    <xf numFmtId="0" fontId="0" fillId="0" borderId="1" xfId="0" applyFill="1" applyBorder="1" applyAlignment="1">
      <alignment horizontal="center" vertical="center" wrapText="1"/>
    </xf>
    <xf numFmtId="0" fontId="19" fillId="0" borderId="1" xfId="0" applyFont="1" applyBorder="1" applyAlignment="1">
      <alignment horizontal="center" vertical="center" wrapText="1"/>
    </xf>
    <xf numFmtId="0" fontId="3" fillId="0" borderId="36" xfId="0" applyFont="1" applyBorder="1" applyAlignment="1">
      <alignment horizontal="center" vertical="center"/>
    </xf>
    <xf numFmtId="1" fontId="0" fillId="2" borderId="29" xfId="0" applyNumberFormat="1" applyFont="1" applyFill="1" applyBorder="1" applyAlignment="1">
      <alignment horizontal="center"/>
    </xf>
    <xf numFmtId="0" fontId="0" fillId="0" borderId="1" xfId="0" applyFont="1" applyBorder="1" applyAlignment="1">
      <alignment horizontal="center" vertical="center" wrapText="1"/>
    </xf>
    <xf numFmtId="1" fontId="11" fillId="0" borderId="36" xfId="0" applyNumberFormat="1" applyFont="1" applyBorder="1" applyAlignment="1">
      <alignment horizontal="center" vertical="center" wrapText="1"/>
    </xf>
    <xf numFmtId="0" fontId="0" fillId="0" borderId="13" xfId="0" applyBorder="1" applyAlignment="1">
      <alignment horizontal="center" vertical="center" wrapText="1"/>
    </xf>
    <xf numFmtId="1" fontId="13" fillId="0" borderId="29" xfId="0" applyNumberFormat="1" applyFont="1" applyBorder="1" applyAlignment="1">
      <alignment horizontal="center" vertical="center" wrapText="1"/>
    </xf>
    <xf numFmtId="1" fontId="0" fillId="0" borderId="1" xfId="0" applyNumberFormat="1" applyBorder="1" applyAlignment="1">
      <alignment horizontal="center" vertical="center" wrapText="1"/>
    </xf>
    <xf numFmtId="0" fontId="24" fillId="0" borderId="1" xfId="0" applyFont="1" applyBorder="1" applyAlignment="1">
      <alignment horizontal="center" vertical="center" wrapText="1"/>
    </xf>
    <xf numFmtId="0" fontId="37" fillId="0" borderId="1" xfId="0" applyFont="1" applyBorder="1" applyAlignment="1">
      <alignment horizontal="center" vertical="center" wrapText="1"/>
    </xf>
    <xf numFmtId="0" fontId="0" fillId="0" borderId="0" xfId="0" applyFill="1" applyBorder="1" applyAlignment="1" applyProtection="1">
      <alignment horizontal="left" wrapText="1"/>
      <protection locked="0"/>
    </xf>
    <xf numFmtId="0" fontId="0" fillId="0" borderId="33" xfId="0" applyFill="1" applyBorder="1" applyAlignment="1">
      <alignment horizontal="center" vertical="center"/>
    </xf>
    <xf numFmtId="0" fontId="0" fillId="0" borderId="27" xfId="0" applyFill="1" applyBorder="1" applyAlignment="1">
      <alignment horizontal="center" vertical="center"/>
    </xf>
    <xf numFmtId="0" fontId="0" fillId="12" borderId="14" xfId="0" applyFill="1" applyBorder="1" applyAlignment="1">
      <alignment horizontal="center" vertical="center" wrapText="1"/>
    </xf>
    <xf numFmtId="0" fontId="0" fillId="12" borderId="14" xfId="0" applyFill="1" applyBorder="1" applyAlignment="1" applyProtection="1">
      <alignment horizontal="center" vertical="center" wrapText="1"/>
      <protection locked="0"/>
    </xf>
    <xf numFmtId="1" fontId="0" fillId="12" borderId="16" xfId="0" applyNumberFormat="1" applyFill="1" applyBorder="1" applyAlignment="1">
      <alignment horizontal="center" vertical="center" wrapText="1"/>
    </xf>
    <xf numFmtId="0" fontId="0" fillId="12" borderId="16" xfId="0" applyFill="1" applyBorder="1" applyAlignment="1" applyProtection="1">
      <alignment horizontal="center" vertical="center" wrapText="1"/>
      <protection locked="0"/>
    </xf>
    <xf numFmtId="0" fontId="0" fillId="12" borderId="22" xfId="0" applyFill="1" applyBorder="1" applyAlignment="1" applyProtection="1">
      <alignment horizontal="center" vertical="center" wrapText="1"/>
      <protection locked="0"/>
    </xf>
    <xf numFmtId="0" fontId="0" fillId="0" borderId="6" xfId="0" applyBorder="1" applyAlignment="1">
      <alignment vertical="center"/>
    </xf>
    <xf numFmtId="0" fontId="0" fillId="0" borderId="12" xfId="0" applyBorder="1" applyAlignment="1">
      <alignment vertical="center"/>
    </xf>
    <xf numFmtId="0" fontId="0" fillId="0" borderId="6" xfId="0" applyBorder="1" applyAlignment="1"/>
    <xf numFmtId="0" fontId="0" fillId="0" borderId="12" xfId="0" applyBorder="1" applyAlignment="1"/>
    <xf numFmtId="0" fontId="0" fillId="0" borderId="6" xfId="0" applyFill="1" applyBorder="1" applyAlignment="1"/>
    <xf numFmtId="0" fontId="0" fillId="0" borderId="12" xfId="0" applyFill="1" applyBorder="1" applyAlignment="1"/>
    <xf numFmtId="0" fontId="0" fillId="0" borderId="5" xfId="0" applyBorder="1" applyAlignment="1">
      <alignment vertical="center"/>
    </xf>
    <xf numFmtId="0" fontId="0" fillId="0" borderId="5" xfId="0" applyBorder="1" applyAlignment="1"/>
    <xf numFmtId="0" fontId="0" fillId="0" borderId="5" xfId="0" applyFill="1" applyBorder="1" applyAlignment="1"/>
    <xf numFmtId="0" fontId="0" fillId="12" borderId="63" xfId="0" applyFill="1" applyBorder="1" applyAlignment="1" applyProtection="1">
      <protection locked="0"/>
    </xf>
    <xf numFmtId="0" fontId="0" fillId="12" borderId="69" xfId="0" applyFill="1" applyBorder="1" applyAlignment="1" applyProtection="1">
      <protection locked="0"/>
    </xf>
    <xf numFmtId="0" fontId="0" fillId="12" borderId="51" xfId="0" applyFill="1" applyBorder="1" applyAlignment="1" applyProtection="1">
      <protection locked="0"/>
    </xf>
    <xf numFmtId="0" fontId="0" fillId="12" borderId="1" xfId="0" applyFill="1" applyBorder="1" applyAlignment="1" applyProtection="1">
      <alignment horizontal="center" vertical="center"/>
      <protection locked="0"/>
    </xf>
    <xf numFmtId="0" fontId="0" fillId="12" borderId="14" xfId="0" applyFill="1" applyBorder="1" applyAlignment="1" applyProtection="1">
      <alignment horizontal="center" vertical="center"/>
      <protection locked="0"/>
    </xf>
    <xf numFmtId="0" fontId="0" fillId="12" borderId="22" xfId="0" applyFill="1" applyBorder="1" applyAlignment="1" applyProtection="1">
      <alignment horizontal="center" vertical="center"/>
      <protection locked="0"/>
    </xf>
    <xf numFmtId="1" fontId="12" fillId="2" borderId="1" xfId="0" applyNumberFormat="1" applyFont="1" applyFill="1" applyBorder="1" applyAlignment="1">
      <alignment horizontal="center" vertical="center" wrapText="1"/>
    </xf>
    <xf numFmtId="1" fontId="0" fillId="2" borderId="1" xfId="0" applyNumberFormat="1" applyFill="1" applyBorder="1" applyAlignment="1">
      <alignment horizontal="center" vertical="center" wrapText="1"/>
    </xf>
    <xf numFmtId="1" fontId="11" fillId="0" borderId="1" xfId="0" applyNumberFormat="1" applyFont="1" applyBorder="1" applyAlignment="1">
      <alignment horizontal="center" vertical="center" wrapText="1"/>
    </xf>
    <xf numFmtId="0" fontId="13" fillId="0" borderId="11" xfId="0" applyFont="1" applyBorder="1" applyAlignment="1">
      <alignment vertical="center" wrapText="1"/>
    </xf>
    <xf numFmtId="0" fontId="13" fillId="0" borderId="33" xfId="0" applyFont="1" applyBorder="1" applyAlignment="1">
      <alignment vertical="center" wrapText="1"/>
    </xf>
    <xf numFmtId="0" fontId="19" fillId="2" borderId="1" xfId="0" applyFont="1" applyFill="1" applyBorder="1" applyAlignment="1">
      <alignment horizontal="center" vertical="center" wrapText="1"/>
    </xf>
    <xf numFmtId="1" fontId="19" fillId="12" borderId="1" xfId="0" applyNumberFormat="1" applyFont="1" applyFill="1" applyBorder="1" applyAlignment="1">
      <alignment horizontal="center" vertical="center"/>
    </xf>
    <xf numFmtId="1" fontId="19" fillId="12" borderId="11" xfId="0" applyNumberFormat="1" applyFont="1" applyFill="1" applyBorder="1" applyAlignment="1">
      <alignment horizontal="center" vertical="center" wrapText="1"/>
    </xf>
    <xf numFmtId="0" fontId="19" fillId="12" borderId="29" xfId="0" applyFont="1" applyFill="1" applyBorder="1" applyAlignment="1">
      <alignment horizontal="center" vertical="center" wrapText="1"/>
    </xf>
    <xf numFmtId="1" fontId="19" fillId="12" borderId="29" xfId="0" applyNumberFormat="1" applyFont="1" applyFill="1" applyBorder="1" applyAlignment="1">
      <alignment horizontal="center" vertical="center"/>
    </xf>
    <xf numFmtId="1" fontId="19" fillId="12" borderId="33" xfId="0" applyNumberFormat="1" applyFont="1" applyFill="1" applyBorder="1" applyAlignment="1">
      <alignment horizontal="center" vertical="center" wrapText="1"/>
    </xf>
    <xf numFmtId="1" fontId="15" fillId="0" borderId="36" xfId="0" applyNumberFormat="1" applyFont="1" applyBorder="1" applyAlignment="1">
      <alignment horizontal="center" vertical="center" wrapText="1"/>
    </xf>
    <xf numFmtId="1" fontId="15" fillId="0" borderId="37" xfId="0" applyNumberFormat="1" applyFont="1" applyBorder="1" applyAlignment="1"/>
    <xf numFmtId="0" fontId="20" fillId="0" borderId="0" xfId="0" applyFont="1" applyBorder="1" applyAlignment="1">
      <alignment vertical="center" wrapText="1"/>
    </xf>
    <xf numFmtId="0" fontId="0" fillId="0" borderId="13" xfId="0" applyBorder="1" applyAlignment="1">
      <alignment horizontal="left" wrapText="1"/>
    </xf>
    <xf numFmtId="0" fontId="0" fillId="12" borderId="13" xfId="0" applyFill="1" applyBorder="1" applyAlignment="1" applyProtection="1">
      <alignment horizontal="left" wrapText="1"/>
      <protection locked="0"/>
    </xf>
    <xf numFmtId="0" fontId="0" fillId="12" borderId="39" xfId="0" applyFill="1" applyBorder="1" applyAlignment="1" applyProtection="1">
      <alignment horizontal="left" wrapText="1"/>
      <protection locked="0"/>
    </xf>
    <xf numFmtId="0" fontId="2" fillId="0" borderId="48" xfId="0" applyFont="1" applyBorder="1" applyAlignment="1">
      <alignment horizontal="center" vertical="center" wrapText="1"/>
    </xf>
    <xf numFmtId="0" fontId="0" fillId="0" borderId="36" xfId="0" applyBorder="1" applyAlignment="1">
      <alignment horizontal="center"/>
    </xf>
    <xf numFmtId="0" fontId="0" fillId="0" borderId="37" xfId="0" applyBorder="1" applyAlignment="1">
      <alignment horizontal="center"/>
    </xf>
    <xf numFmtId="0" fontId="0" fillId="0" borderId="1" xfId="0" applyFill="1" applyBorder="1" applyAlignment="1">
      <alignment horizontal="center" vertical="center"/>
    </xf>
    <xf numFmtId="0" fontId="0" fillId="12" borderId="14" xfId="0" applyFill="1" applyBorder="1" applyAlignment="1">
      <alignment horizontal="center" vertical="center"/>
    </xf>
    <xf numFmtId="0" fontId="0" fillId="12" borderId="47" xfId="0" applyFill="1" applyBorder="1" applyAlignment="1">
      <alignment horizontal="center" vertical="center"/>
    </xf>
    <xf numFmtId="0" fontId="0" fillId="12" borderId="1" xfId="0" applyFill="1" applyBorder="1" applyAlignment="1">
      <alignment horizontal="center" vertical="center"/>
    </xf>
    <xf numFmtId="0" fontId="0" fillId="12" borderId="29" xfId="0" applyFill="1" applyBorder="1" applyAlignment="1">
      <alignment horizontal="center" vertical="center" wrapText="1"/>
    </xf>
    <xf numFmtId="0" fontId="0" fillId="12" borderId="29" xfId="0" applyFill="1" applyBorder="1" applyAlignment="1">
      <alignment horizontal="center" vertical="center"/>
    </xf>
    <xf numFmtId="1" fontId="17" fillId="0" borderId="29" xfId="0" applyNumberFormat="1" applyFont="1" applyFill="1" applyBorder="1" applyAlignment="1">
      <alignment horizontal="center" vertical="center"/>
    </xf>
    <xf numFmtId="1" fontId="17" fillId="2" borderId="1" xfId="0" applyNumberFormat="1" applyFont="1" applyFill="1" applyBorder="1" applyAlignment="1" applyProtection="1">
      <alignment horizontal="center" vertical="center"/>
      <protection locked="0"/>
    </xf>
    <xf numFmtId="1" fontId="17" fillId="2" borderId="1" xfId="0" applyNumberFormat="1" applyFont="1" applyFill="1" applyBorder="1" applyAlignment="1" applyProtection="1">
      <alignment horizontal="center" vertical="center" wrapText="1"/>
      <protection locked="0"/>
    </xf>
    <xf numFmtId="0" fontId="5" fillId="8" borderId="35" xfId="0" applyFont="1" applyFill="1" applyBorder="1" applyAlignment="1">
      <alignment vertical="center"/>
    </xf>
    <xf numFmtId="1" fontId="13" fillId="0" borderId="29" xfId="0" applyNumberFormat="1" applyFont="1" applyFill="1" applyBorder="1" applyAlignment="1">
      <alignment horizontal="center" vertical="center"/>
    </xf>
    <xf numFmtId="1" fontId="26" fillId="0" borderId="1" xfId="0" applyNumberFormat="1" applyFont="1" applyFill="1" applyBorder="1" applyAlignment="1">
      <alignment horizontal="center" vertical="center" wrapText="1"/>
    </xf>
    <xf numFmtId="1" fontId="26" fillId="0" borderId="29" xfId="0" applyNumberFormat="1" applyFont="1" applyFill="1" applyBorder="1" applyAlignment="1">
      <alignment horizontal="center" vertical="center" wrapText="1"/>
    </xf>
    <xf numFmtId="0" fontId="5" fillId="9" borderId="26" xfId="0" applyFont="1" applyFill="1" applyBorder="1" applyAlignment="1"/>
    <xf numFmtId="1" fontId="7" fillId="0" borderId="36" xfId="0" applyNumberFormat="1" applyFont="1" applyBorder="1" applyAlignment="1">
      <alignment horizontal="center" vertical="center"/>
    </xf>
    <xf numFmtId="0" fontId="7" fillId="0" borderId="36" xfId="0" applyFont="1" applyBorder="1" applyAlignment="1">
      <alignment horizontal="center" vertical="center"/>
    </xf>
    <xf numFmtId="0" fontId="0" fillId="0" borderId="30" xfId="0" applyBorder="1" applyAlignment="1">
      <alignment horizontal="center"/>
    </xf>
    <xf numFmtId="1" fontId="0" fillId="2" borderId="1" xfId="0" applyNumberFormat="1" applyFont="1" applyFill="1" applyBorder="1" applyAlignment="1">
      <alignment horizontal="center"/>
    </xf>
    <xf numFmtId="1" fontId="0" fillId="0" borderId="1" xfId="0" applyNumberFormat="1" applyFont="1" applyFill="1" applyBorder="1" applyAlignment="1">
      <alignment horizontal="center"/>
    </xf>
    <xf numFmtId="0" fontId="4" fillId="8" borderId="35" xfId="0" applyFont="1" applyFill="1" applyBorder="1" applyAlignment="1"/>
    <xf numFmtId="0" fontId="4" fillId="8" borderId="54" xfId="0" applyFont="1" applyFill="1" applyBorder="1" applyAlignment="1"/>
    <xf numFmtId="1" fontId="26" fillId="0" borderId="36" xfId="0" applyNumberFormat="1" applyFont="1" applyBorder="1" applyAlignment="1">
      <alignment horizontal="center" vertical="center"/>
    </xf>
    <xf numFmtId="1" fontId="17" fillId="0" borderId="11" xfId="0" applyNumberFormat="1" applyFont="1" applyBorder="1" applyAlignment="1">
      <alignment horizontal="center" vertical="center" wrapText="1"/>
    </xf>
    <xf numFmtId="0" fontId="11" fillId="13" borderId="6" xfId="0" applyFont="1" applyFill="1" applyBorder="1" applyAlignment="1">
      <alignment horizontal="center" vertical="center" wrapText="1"/>
    </xf>
    <xf numFmtId="0" fontId="10" fillId="13" borderId="6" xfId="0" applyFont="1" applyFill="1" applyBorder="1" applyAlignment="1">
      <alignment horizontal="center" vertical="center" wrapText="1"/>
    </xf>
    <xf numFmtId="0" fontId="10" fillId="13" borderId="7" xfId="0" applyFont="1" applyFill="1" applyBorder="1" applyAlignment="1">
      <alignment horizontal="center" vertical="center" wrapText="1"/>
    </xf>
    <xf numFmtId="0" fontId="10" fillId="5" borderId="13" xfId="0" applyFont="1" applyFill="1" applyBorder="1" applyAlignment="1">
      <alignment horizontal="center" vertical="center" wrapText="1"/>
    </xf>
    <xf numFmtId="0" fontId="19" fillId="2" borderId="14" xfId="0" applyFont="1" applyFill="1" applyBorder="1" applyAlignment="1">
      <alignment horizontal="center" vertical="center" wrapText="1"/>
    </xf>
    <xf numFmtId="1" fontId="19" fillId="2" borderId="12" xfId="0" applyNumberFormat="1" applyFont="1" applyFill="1" applyBorder="1" applyAlignment="1">
      <alignment horizontal="center" vertical="center" wrapText="1"/>
    </xf>
    <xf numFmtId="1" fontId="19" fillId="8" borderId="11" xfId="0" applyNumberFormat="1" applyFont="1" applyFill="1" applyBorder="1" applyAlignment="1">
      <alignment horizontal="center" vertical="center" wrapText="1"/>
    </xf>
    <xf numFmtId="1" fontId="10" fillId="0" borderId="40" xfId="0" applyNumberFormat="1" applyFont="1" applyBorder="1" applyAlignment="1">
      <alignment horizontal="center" vertical="center" wrapText="1"/>
    </xf>
    <xf numFmtId="1" fontId="10" fillId="0" borderId="37" xfId="0" applyNumberFormat="1" applyFont="1" applyBorder="1" applyAlignment="1">
      <alignment horizontal="center" vertical="center" wrapText="1"/>
    </xf>
    <xf numFmtId="0" fontId="0" fillId="5" borderId="14" xfId="0" applyFill="1" applyBorder="1" applyAlignment="1">
      <alignment horizontal="center" vertical="center"/>
    </xf>
    <xf numFmtId="1" fontId="19" fillId="2" borderId="29" xfId="0" applyNumberFormat="1" applyFont="1" applyFill="1" applyBorder="1" applyAlignment="1">
      <alignment horizontal="center" vertical="center" wrapText="1"/>
    </xf>
    <xf numFmtId="1" fontId="0" fillId="2" borderId="29" xfId="1" applyNumberFormat="1" applyFont="1" applyFill="1" applyBorder="1" applyAlignment="1">
      <alignment horizontal="center" vertical="center"/>
    </xf>
    <xf numFmtId="1" fontId="17" fillId="0" borderId="40" xfId="0" applyNumberFormat="1" applyFont="1" applyBorder="1" applyAlignment="1">
      <alignment horizontal="center" vertical="center" wrapText="1"/>
    </xf>
    <xf numFmtId="0" fontId="5" fillId="9" borderId="46" xfId="0" applyFont="1" applyFill="1" applyBorder="1" applyAlignment="1">
      <alignment vertical="center"/>
    </xf>
    <xf numFmtId="0" fontId="12" fillId="0" borderId="30" xfId="0" applyFont="1" applyFill="1" applyBorder="1" applyAlignment="1">
      <alignment horizontal="center" vertical="top" wrapText="1"/>
    </xf>
    <xf numFmtId="1" fontId="12" fillId="2" borderId="1" xfId="0" applyNumberFormat="1" applyFont="1" applyFill="1" applyBorder="1" applyAlignment="1">
      <alignment horizontal="center" vertical="center"/>
    </xf>
    <xf numFmtId="1" fontId="2" fillId="2" borderId="62" xfId="0" applyNumberFormat="1" applyFont="1" applyFill="1" applyBorder="1" applyAlignment="1">
      <alignment vertical="center" wrapText="1"/>
    </xf>
    <xf numFmtId="1" fontId="11" fillId="2" borderId="16" xfId="0" applyNumberFormat="1" applyFont="1" applyFill="1" applyBorder="1" applyAlignment="1">
      <alignment horizontal="center" vertical="center"/>
    </xf>
    <xf numFmtId="0" fontId="0" fillId="2" borderId="16" xfId="0" applyFill="1" applyBorder="1" applyAlignment="1">
      <alignment horizontal="center" vertical="center"/>
    </xf>
    <xf numFmtId="0" fontId="2" fillId="2" borderId="37" xfId="0" applyFont="1" applyFill="1" applyBorder="1" applyAlignment="1">
      <alignment horizontal="center" vertical="center"/>
    </xf>
    <xf numFmtId="0" fontId="13" fillId="0" borderId="23" xfId="0" applyFont="1" applyBorder="1" applyAlignment="1">
      <alignment horizontal="center" vertical="center" wrapText="1"/>
    </xf>
    <xf numFmtId="0" fontId="0" fillId="0" borderId="0" xfId="0" applyFill="1" applyBorder="1" applyAlignment="1">
      <alignment horizontal="center" wrapText="1"/>
    </xf>
    <xf numFmtId="0" fontId="0" fillId="0" borderId="0" xfId="0" applyFill="1" applyBorder="1" applyAlignment="1" applyProtection="1">
      <alignment horizontal="center" wrapText="1"/>
      <protection locked="0"/>
    </xf>
    <xf numFmtId="0" fontId="13" fillId="0" borderId="13" xfId="0" applyFont="1" applyBorder="1" applyAlignment="1">
      <alignment horizontal="left" vertical="center" wrapText="1"/>
    </xf>
    <xf numFmtId="0" fontId="0" fillId="2" borderId="1" xfId="0" applyFill="1" applyBorder="1" applyAlignment="1">
      <alignment wrapText="1"/>
    </xf>
    <xf numFmtId="0" fontId="0" fillId="2" borderId="29" xfId="0" applyFill="1" applyBorder="1" applyAlignment="1">
      <alignment wrapText="1"/>
    </xf>
    <xf numFmtId="0" fontId="12" fillId="0" borderId="1" xfId="0" applyFont="1" applyFill="1" applyBorder="1" applyAlignment="1">
      <alignment horizontal="center" vertical="center" wrapText="1"/>
    </xf>
    <xf numFmtId="0" fontId="0" fillId="0" borderId="36" xfId="0" applyBorder="1" applyAlignment="1">
      <alignment horizontal="center" vertical="center"/>
    </xf>
    <xf numFmtId="0" fontId="0" fillId="0" borderId="36" xfId="0" applyBorder="1" applyAlignment="1">
      <alignment horizontal="center" vertical="center" wrapText="1"/>
    </xf>
    <xf numFmtId="0" fontId="5" fillId="9" borderId="46" xfId="0" applyFont="1" applyFill="1" applyBorder="1" applyAlignment="1"/>
    <xf numFmtId="0" fontId="10" fillId="13" borderId="13" xfId="0" applyFont="1" applyFill="1" applyBorder="1" applyAlignment="1">
      <alignment horizontal="left" vertical="center" wrapText="1"/>
    </xf>
    <xf numFmtId="1" fontId="27" fillId="13" borderId="1" xfId="0" applyNumberFormat="1" applyFont="1" applyFill="1" applyBorder="1" applyAlignment="1">
      <alignment horizontal="center" vertical="center" wrapText="1"/>
    </xf>
    <xf numFmtId="1" fontId="27" fillId="2" borderId="1" xfId="0" applyNumberFormat="1" applyFont="1" applyFill="1" applyBorder="1" applyAlignment="1">
      <alignment horizontal="center" wrapText="1"/>
    </xf>
    <xf numFmtId="1" fontId="16" fillId="0" borderId="40" xfId="0" applyNumberFormat="1" applyFont="1" applyBorder="1" applyAlignment="1">
      <alignment horizontal="center" vertical="center" wrapText="1"/>
    </xf>
    <xf numFmtId="1" fontId="18" fillId="11" borderId="1" xfId="0" applyNumberFormat="1" applyFont="1" applyFill="1" applyBorder="1" applyAlignment="1">
      <alignment horizontal="center" vertical="center" wrapText="1"/>
    </xf>
    <xf numFmtId="1" fontId="18" fillId="11" borderId="11" xfId="0" applyNumberFormat="1" applyFont="1" applyFill="1" applyBorder="1" applyAlignment="1">
      <alignment horizontal="center" vertical="center" wrapText="1"/>
    </xf>
    <xf numFmtId="1" fontId="18" fillId="11" borderId="29" xfId="0" applyNumberFormat="1" applyFont="1" applyFill="1" applyBorder="1" applyAlignment="1">
      <alignment horizontal="center" vertical="center" wrapText="1"/>
    </xf>
    <xf numFmtId="1" fontId="18" fillId="11" borderId="17" xfId="0" applyNumberFormat="1" applyFont="1" applyFill="1" applyBorder="1" applyAlignment="1">
      <alignment horizontal="center" vertical="center" wrapText="1"/>
    </xf>
    <xf numFmtId="0" fontId="17" fillId="0" borderId="11" xfId="0" applyFont="1" applyBorder="1" applyAlignment="1">
      <alignment horizontal="center" vertical="center" wrapText="1"/>
    </xf>
    <xf numFmtId="1" fontId="17" fillId="0" borderId="17" xfId="0" applyNumberFormat="1" applyFont="1" applyBorder="1" applyAlignment="1">
      <alignment horizontal="center" vertical="center" wrapText="1"/>
    </xf>
    <xf numFmtId="0" fontId="5" fillId="3" borderId="0" xfId="0" applyFont="1" applyFill="1" applyBorder="1" applyAlignment="1">
      <alignment horizontal="left"/>
    </xf>
    <xf numFmtId="0" fontId="3" fillId="0" borderId="14" xfId="0" applyFont="1" applyBorder="1" applyAlignment="1">
      <alignment horizontal="center" vertical="center" wrapText="1"/>
    </xf>
    <xf numFmtId="1" fontId="3" fillId="10" borderId="36" xfId="0" applyNumberFormat="1" applyFont="1" applyFill="1" applyBorder="1" applyAlignment="1" applyProtection="1">
      <alignment horizontal="center" vertical="center" wrapText="1"/>
      <protection locked="0"/>
    </xf>
    <xf numFmtId="0" fontId="0" fillId="2" borderId="11" xfId="0" applyFill="1" applyBorder="1" applyAlignment="1">
      <alignment vertical="center" wrapText="1"/>
    </xf>
    <xf numFmtId="0" fontId="4" fillId="0" borderId="39" xfId="0" applyFont="1" applyBorder="1" applyAlignment="1">
      <alignment horizontal="center" wrapText="1"/>
    </xf>
    <xf numFmtId="1" fontId="3" fillId="10" borderId="37" xfId="0" applyNumberFormat="1" applyFont="1" applyFill="1" applyBorder="1" applyAlignment="1" applyProtection="1">
      <alignment horizontal="center" vertical="center" wrapText="1"/>
      <protection locked="0"/>
    </xf>
    <xf numFmtId="0" fontId="3" fillId="0" borderId="12" xfId="0" applyFont="1" applyFill="1" applyBorder="1" applyAlignment="1">
      <alignment horizontal="center" vertical="center" wrapText="1"/>
    </xf>
    <xf numFmtId="1" fontId="3" fillId="11" borderId="1" xfId="0" applyNumberFormat="1" applyFont="1" applyFill="1" applyBorder="1" applyAlignment="1" applyProtection="1">
      <alignment horizontal="center" vertical="center" wrapText="1"/>
      <protection locked="0"/>
    </xf>
    <xf numFmtId="1" fontId="3" fillId="11" borderId="29" xfId="0" applyNumberFormat="1" applyFont="1" applyFill="1" applyBorder="1" applyAlignment="1" applyProtection="1">
      <alignment horizontal="center" vertical="center" wrapText="1"/>
      <protection locked="0"/>
    </xf>
    <xf numFmtId="1" fontId="3" fillId="0" borderId="36" xfId="0" applyNumberFormat="1" applyFont="1" applyFill="1" applyBorder="1" applyAlignment="1" applyProtection="1">
      <alignment horizontal="center" vertical="center" wrapText="1"/>
      <protection locked="0"/>
    </xf>
    <xf numFmtId="1" fontId="3" fillId="0" borderId="37" xfId="0" applyNumberFormat="1" applyFont="1" applyFill="1" applyBorder="1" applyAlignment="1" applyProtection="1">
      <alignment horizontal="center" vertical="center" wrapText="1"/>
      <protection locked="0"/>
    </xf>
    <xf numFmtId="1" fontId="3" fillId="8" borderId="50" xfId="0" applyNumberFormat="1" applyFont="1" applyFill="1" applyBorder="1" applyAlignment="1" applyProtection="1">
      <alignment horizontal="center" vertical="center" wrapText="1"/>
      <protection locked="0"/>
    </xf>
    <xf numFmtId="1" fontId="3" fillId="0" borderId="50" xfId="0" applyNumberFormat="1" applyFont="1" applyFill="1" applyBorder="1" applyAlignment="1" applyProtection="1">
      <alignment horizontal="center" vertical="center" wrapText="1"/>
      <protection locked="0"/>
    </xf>
    <xf numFmtId="9" fontId="30" fillId="11" borderId="12" xfId="1" applyFont="1" applyFill="1" applyBorder="1" applyAlignment="1" applyProtection="1">
      <alignment horizontal="center" vertical="center"/>
      <protection locked="0"/>
    </xf>
    <xf numFmtId="9" fontId="30" fillId="11" borderId="1" xfId="1" applyFont="1" applyFill="1" applyBorder="1" applyAlignment="1" applyProtection="1">
      <alignment horizontal="center" vertical="center"/>
      <protection locked="0"/>
    </xf>
    <xf numFmtId="1" fontId="4" fillId="11" borderId="14" xfId="0" applyNumberFormat="1" applyFont="1" applyFill="1" applyBorder="1" applyAlignment="1" applyProtection="1">
      <alignment horizontal="center" vertical="center"/>
      <protection locked="0"/>
    </xf>
    <xf numFmtId="9" fontId="30" fillId="11" borderId="32" xfId="1" applyFont="1" applyFill="1" applyBorder="1" applyAlignment="1" applyProtection="1">
      <alignment horizontal="center" vertical="center"/>
      <protection locked="0"/>
    </xf>
    <xf numFmtId="9" fontId="30" fillId="11" borderId="29" xfId="1" applyFont="1" applyFill="1" applyBorder="1" applyAlignment="1" applyProtection="1">
      <alignment horizontal="center" vertical="center"/>
      <protection locked="0"/>
    </xf>
    <xf numFmtId="1" fontId="4" fillId="11" borderId="47" xfId="0" applyNumberFormat="1" applyFont="1" applyFill="1" applyBorder="1" applyAlignment="1" applyProtection="1">
      <alignment horizontal="center" vertical="center"/>
      <protection locked="0"/>
    </xf>
    <xf numFmtId="9" fontId="30" fillId="8" borderId="35" xfId="1" applyFont="1" applyFill="1" applyBorder="1" applyAlignment="1" applyProtection="1">
      <alignment horizontal="center" vertical="center"/>
      <protection locked="0"/>
    </xf>
    <xf numFmtId="9" fontId="30" fillId="8" borderId="36" xfId="1" applyFont="1" applyFill="1" applyBorder="1" applyAlignment="1" applyProtection="1">
      <alignment horizontal="center" vertical="center"/>
      <protection locked="0"/>
    </xf>
    <xf numFmtId="1" fontId="4" fillId="8" borderId="37" xfId="0" applyNumberFormat="1" applyFont="1" applyFill="1" applyBorder="1" applyAlignment="1" applyProtection="1">
      <alignment horizontal="center" vertical="center"/>
      <protection locked="0"/>
    </xf>
    <xf numFmtId="9" fontId="30" fillId="8" borderId="59" xfId="1" applyFont="1" applyFill="1" applyBorder="1" applyAlignment="1" applyProtection="1">
      <alignment horizontal="center" vertical="center"/>
      <protection locked="0"/>
    </xf>
    <xf numFmtId="9" fontId="30" fillId="8" borderId="50" xfId="1" applyFont="1" applyFill="1" applyBorder="1" applyAlignment="1" applyProtection="1">
      <alignment horizontal="center" vertical="center"/>
      <protection locked="0"/>
    </xf>
    <xf numFmtId="1" fontId="4" fillId="8" borderId="61" xfId="0" applyNumberFormat="1" applyFont="1" applyFill="1" applyBorder="1" applyAlignment="1" applyProtection="1">
      <alignment horizontal="center" vertical="center"/>
      <protection locked="0"/>
    </xf>
    <xf numFmtId="0" fontId="0" fillId="0" borderId="14" xfId="0" applyFill="1" applyBorder="1" applyAlignment="1">
      <alignment horizontal="center" vertical="center" wrapText="1"/>
    </xf>
    <xf numFmtId="0" fontId="7" fillId="0" borderId="15" xfId="0" applyFont="1" applyBorder="1" applyAlignment="1">
      <alignment wrapText="1"/>
    </xf>
    <xf numFmtId="1" fontId="10" fillId="2" borderId="16" xfId="0" applyNumberFormat="1" applyFont="1" applyFill="1" applyBorder="1" applyAlignment="1">
      <alignment horizontal="center" vertical="center" wrapText="1"/>
    </xf>
    <xf numFmtId="1" fontId="10" fillId="0" borderId="22" xfId="0" applyNumberFormat="1" applyFont="1" applyFill="1" applyBorder="1" applyAlignment="1">
      <alignment horizontal="center" vertical="center"/>
    </xf>
    <xf numFmtId="1" fontId="17" fillId="0" borderId="16" xfId="0" applyNumberFormat="1" applyFont="1" applyFill="1" applyBorder="1" applyAlignment="1">
      <alignment horizontal="center" vertical="center"/>
    </xf>
    <xf numFmtId="1" fontId="10" fillId="2" borderId="16" xfId="0" applyNumberFormat="1" applyFont="1" applyFill="1" applyBorder="1" applyAlignment="1">
      <alignment horizontal="center" vertical="center"/>
    </xf>
    <xf numFmtId="0" fontId="11" fillId="2" borderId="16" xfId="0" applyFont="1" applyFill="1" applyBorder="1" applyAlignment="1">
      <alignment horizontal="center" vertical="center"/>
    </xf>
    <xf numFmtId="0" fontId="0" fillId="12" borderId="9" xfId="0" applyFill="1" applyBorder="1" applyAlignment="1">
      <alignment horizontal="center" vertical="center" wrapText="1"/>
    </xf>
    <xf numFmtId="0" fontId="0" fillId="12" borderId="10" xfId="0" applyFill="1" applyBorder="1" applyAlignment="1">
      <alignment horizontal="center" vertical="center" wrapText="1"/>
    </xf>
    <xf numFmtId="0" fontId="0" fillId="0" borderId="36" xfId="0" applyFill="1" applyBorder="1" applyAlignment="1">
      <alignment horizontal="center" vertical="center" wrapText="1"/>
    </xf>
    <xf numFmtId="0" fontId="0" fillId="0" borderId="37" xfId="0" applyFill="1" applyBorder="1" applyAlignment="1">
      <alignment horizontal="center" vertical="center" wrapText="1"/>
    </xf>
    <xf numFmtId="0" fontId="0" fillId="0" borderId="30" xfId="0" applyBorder="1" applyAlignment="1">
      <alignment vertical="center" wrapText="1"/>
    </xf>
    <xf numFmtId="0" fontId="17" fillId="0" borderId="13" xfId="0" applyFont="1" applyBorder="1" applyAlignment="1">
      <alignment vertical="center" wrapText="1"/>
    </xf>
    <xf numFmtId="1" fontId="22" fillId="0" borderId="15" xfId="0" applyNumberFormat="1" applyFont="1" applyBorder="1" applyAlignment="1">
      <alignment horizontal="center" vertical="center" wrapText="1"/>
    </xf>
    <xf numFmtId="1" fontId="7" fillId="2" borderId="16" xfId="0" applyNumberFormat="1" applyFont="1" applyFill="1" applyBorder="1" applyAlignment="1">
      <alignment horizontal="center" vertical="center" wrapText="1"/>
    </xf>
    <xf numFmtId="1" fontId="26" fillId="2" borderId="29" xfId="0" applyNumberFormat="1" applyFont="1" applyFill="1" applyBorder="1" applyAlignment="1">
      <alignment horizontal="center" vertical="center" wrapText="1"/>
    </xf>
    <xf numFmtId="0" fontId="0" fillId="0" borderId="13" xfId="0" applyBorder="1" applyAlignment="1">
      <alignment horizontal="center" wrapText="1"/>
    </xf>
    <xf numFmtId="1" fontId="26" fillId="10" borderId="1" xfId="0" applyNumberFormat="1" applyFont="1" applyFill="1" applyBorder="1" applyAlignment="1">
      <alignment horizontal="center" vertical="center"/>
    </xf>
    <xf numFmtId="1" fontId="26" fillId="10" borderId="29" xfId="0" applyNumberFormat="1" applyFont="1" applyFill="1" applyBorder="1" applyAlignment="1">
      <alignment horizontal="center" vertical="center"/>
    </xf>
    <xf numFmtId="1" fontId="17" fillId="0" borderId="29" xfId="0" applyNumberFormat="1" applyFont="1" applyFill="1" applyBorder="1" applyAlignment="1">
      <alignment horizontal="center" vertical="center" wrapText="1"/>
    </xf>
    <xf numFmtId="1" fontId="19" fillId="2" borderId="32" xfId="0" applyNumberFormat="1" applyFont="1" applyFill="1" applyBorder="1" applyAlignment="1">
      <alignment horizontal="center" vertical="center" wrapText="1"/>
    </xf>
    <xf numFmtId="1" fontId="19" fillId="2" borderId="47" xfId="0" applyNumberFormat="1" applyFont="1" applyFill="1" applyBorder="1" applyAlignment="1">
      <alignment horizontal="center" vertical="center" wrapText="1"/>
    </xf>
    <xf numFmtId="1" fontId="2" fillId="2" borderId="17" xfId="0" applyNumberFormat="1" applyFont="1" applyFill="1" applyBorder="1" applyAlignment="1">
      <alignment vertical="center" wrapText="1"/>
    </xf>
    <xf numFmtId="1" fontId="2" fillId="2" borderId="16" xfId="0" applyNumberFormat="1" applyFont="1" applyFill="1" applyBorder="1" applyAlignment="1">
      <alignment vertical="center" wrapText="1"/>
    </xf>
    <xf numFmtId="0" fontId="12" fillId="2" borderId="14" xfId="0" applyFont="1" applyFill="1" applyBorder="1" applyAlignment="1">
      <alignment horizontal="center" vertical="center"/>
    </xf>
    <xf numFmtId="0" fontId="0" fillId="2" borderId="22" xfId="0" applyFill="1" applyBorder="1" applyAlignment="1">
      <alignment horizontal="center" vertical="center"/>
    </xf>
    <xf numFmtId="0" fontId="0" fillId="0" borderId="29" xfId="0" applyBorder="1" applyAlignment="1">
      <alignment horizontal="center" vertical="center" wrapText="1"/>
    </xf>
    <xf numFmtId="1" fontId="0" fillId="2" borderId="29" xfId="0" applyNumberFormat="1" applyFill="1" applyBorder="1" applyAlignment="1">
      <alignment vertical="center"/>
    </xf>
    <xf numFmtId="0" fontId="0" fillId="2" borderId="33" xfId="0" applyFill="1" applyBorder="1" applyAlignment="1">
      <alignment vertical="center" wrapText="1"/>
    </xf>
    <xf numFmtId="0" fontId="2" fillId="0" borderId="40" xfId="0" applyFont="1" applyFill="1" applyBorder="1" applyAlignment="1">
      <alignment horizontal="center" vertical="center" wrapText="1"/>
    </xf>
    <xf numFmtId="0" fontId="12" fillId="0" borderId="14" xfId="0" applyFont="1" applyBorder="1" applyAlignment="1">
      <alignment horizontal="center" vertical="center" wrapText="1"/>
    </xf>
    <xf numFmtId="1" fontId="0" fillId="2" borderId="14" xfId="0" applyNumberFormat="1" applyFill="1" applyBorder="1" applyAlignment="1">
      <alignment horizontal="center" vertical="center" wrapText="1"/>
    </xf>
    <xf numFmtId="1" fontId="12" fillId="2" borderId="29" xfId="0" applyNumberFormat="1" applyFont="1" applyFill="1" applyBorder="1" applyAlignment="1">
      <alignment horizontal="center" vertical="center" wrapText="1"/>
    </xf>
    <xf numFmtId="1" fontId="0" fillId="2" borderId="29" xfId="0" applyNumberFormat="1" applyFill="1" applyBorder="1" applyAlignment="1">
      <alignment horizontal="center" vertical="center" wrapText="1"/>
    </xf>
    <xf numFmtId="1" fontId="0" fillId="2" borderId="47" xfId="0" applyNumberFormat="1" applyFill="1" applyBorder="1" applyAlignment="1">
      <alignment horizontal="center" vertical="center" wrapText="1"/>
    </xf>
    <xf numFmtId="1" fontId="11" fillId="0" borderId="37" xfId="0" applyNumberFormat="1" applyFont="1" applyBorder="1" applyAlignment="1">
      <alignment horizontal="center" vertical="center" wrapText="1"/>
    </xf>
    <xf numFmtId="0" fontId="41" fillId="13" borderId="44" xfId="0" applyFont="1" applyFill="1" applyBorder="1"/>
    <xf numFmtId="0" fontId="62" fillId="13" borderId="46" xfId="0" applyFont="1" applyFill="1" applyBorder="1" applyAlignment="1">
      <alignment wrapText="1"/>
    </xf>
    <xf numFmtId="0" fontId="0" fillId="0" borderId="39" xfId="0" applyBorder="1" applyAlignment="1">
      <alignment horizontal="center" wrapText="1"/>
    </xf>
    <xf numFmtId="0" fontId="63" fillId="13" borderId="73" xfId="0" applyFont="1" applyFill="1" applyBorder="1" applyAlignment="1">
      <alignment horizontal="center" vertical="center" wrapText="1"/>
    </xf>
    <xf numFmtId="0" fontId="63" fillId="13" borderId="74" xfId="0" applyFont="1" applyFill="1" applyBorder="1" applyAlignment="1">
      <alignment horizontal="center" vertical="center" wrapText="1"/>
    </xf>
    <xf numFmtId="0" fontId="63" fillId="13" borderId="74" xfId="0" applyFont="1" applyFill="1" applyBorder="1" applyAlignment="1">
      <alignment vertical="center" wrapText="1"/>
    </xf>
    <xf numFmtId="0" fontId="24" fillId="0" borderId="9" xfId="0" applyFont="1" applyBorder="1" applyAlignment="1">
      <alignment horizontal="center" vertical="center" wrapText="1"/>
    </xf>
    <xf numFmtId="0" fontId="24" fillId="0" borderId="9" xfId="0" applyFont="1" applyBorder="1" applyAlignment="1">
      <alignment vertical="center" wrapText="1"/>
    </xf>
    <xf numFmtId="0" fontId="24" fillId="0" borderId="9" xfId="0" applyFont="1" applyBorder="1"/>
    <xf numFmtId="0" fontId="24" fillId="0" borderId="16" xfId="0" applyFont="1" applyBorder="1" applyAlignment="1">
      <alignment horizontal="center" vertical="center" wrapText="1"/>
    </xf>
    <xf numFmtId="0" fontId="24" fillId="0" borderId="52" xfId="0" applyFont="1" applyBorder="1"/>
    <xf numFmtId="0" fontId="24" fillId="0" borderId="12" xfId="0" applyFont="1" applyBorder="1"/>
    <xf numFmtId="0" fontId="24" fillId="0" borderId="22"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10" xfId="0" applyFont="1" applyBorder="1" applyAlignment="1">
      <alignment horizontal="center" vertical="center" wrapText="1"/>
    </xf>
    <xf numFmtId="0" fontId="24" fillId="0" borderId="13" xfId="0" applyFont="1" applyBorder="1" applyAlignment="1">
      <alignment horizontal="center" vertical="center" wrapText="1"/>
    </xf>
    <xf numFmtId="0" fontId="24" fillId="0" borderId="14" xfId="0" applyFont="1" applyBorder="1" applyAlignment="1">
      <alignment horizontal="center" vertical="center" wrapText="1"/>
    </xf>
    <xf numFmtId="0" fontId="24" fillId="0" borderId="38" xfId="0" applyFont="1" applyBorder="1"/>
    <xf numFmtId="0" fontId="24" fillId="0" borderId="11" xfId="0" applyFont="1" applyBorder="1"/>
    <xf numFmtId="0" fontId="24" fillId="0" borderId="8" xfId="0" applyFont="1" applyBorder="1"/>
    <xf numFmtId="0" fontId="24" fillId="0" borderId="10" xfId="0" applyFont="1" applyBorder="1"/>
    <xf numFmtId="0" fontId="24" fillId="0" borderId="13" xfId="0" applyFont="1" applyBorder="1"/>
    <xf numFmtId="0" fontId="24" fillId="0" borderId="14" xfId="0" applyFont="1" applyBorder="1"/>
    <xf numFmtId="0" fontId="24" fillId="0" borderId="39" xfId="0" applyFont="1" applyBorder="1" applyAlignment="1">
      <alignment horizontal="center" vertical="center" wrapText="1"/>
    </xf>
    <xf numFmtId="0" fontId="24" fillId="0" borderId="29" xfId="0" applyFont="1" applyBorder="1" applyAlignment="1">
      <alignment vertical="center" wrapText="1"/>
    </xf>
    <xf numFmtId="0" fontId="24" fillId="0" borderId="29" xfId="0" applyFont="1" applyBorder="1" applyAlignment="1">
      <alignment horizontal="center" vertical="center" wrapText="1"/>
    </xf>
    <xf numFmtId="0" fontId="24" fillId="0" borderId="47" xfId="0" applyFont="1" applyBorder="1" applyAlignment="1">
      <alignment horizontal="center" vertical="center" wrapText="1"/>
    </xf>
    <xf numFmtId="0" fontId="24" fillId="0" borderId="32" xfId="0" applyFont="1" applyBorder="1"/>
    <xf numFmtId="0" fontId="24" fillId="0" borderId="29" xfId="0" applyFont="1" applyBorder="1"/>
    <xf numFmtId="0" fontId="24" fillId="0" borderId="33" xfId="0" applyFont="1" applyBorder="1"/>
    <xf numFmtId="0" fontId="24" fillId="0" borderId="39" xfId="0" applyFont="1" applyBorder="1"/>
    <xf numFmtId="0" fontId="24" fillId="0" borderId="47" xfId="0" applyFont="1" applyBorder="1"/>
    <xf numFmtId="0" fontId="24" fillId="0" borderId="48" xfId="0" applyFont="1" applyBorder="1" applyAlignment="1">
      <alignment vertical="center" wrapText="1"/>
    </xf>
    <xf numFmtId="0" fontId="40" fillId="0" borderId="36" xfId="0" applyFont="1" applyBorder="1" applyAlignment="1">
      <alignment vertical="center" wrapText="1"/>
    </xf>
    <xf numFmtId="0" fontId="40" fillId="0" borderId="36" xfId="0" applyFont="1" applyBorder="1" applyAlignment="1">
      <alignment horizontal="center" vertical="center" wrapText="1"/>
    </xf>
    <xf numFmtId="0" fontId="40" fillId="0" borderId="37" xfId="0" applyFont="1" applyBorder="1" applyAlignment="1">
      <alignment horizontal="center" vertical="center" wrapText="1"/>
    </xf>
    <xf numFmtId="0" fontId="24" fillId="0" borderId="35" xfId="0" applyFont="1" applyBorder="1"/>
    <xf numFmtId="0" fontId="24" fillId="0" borderId="36" xfId="0" applyFont="1" applyBorder="1"/>
    <xf numFmtId="0" fontId="24" fillId="0" borderId="40" xfId="0" applyFont="1" applyBorder="1"/>
    <xf numFmtId="0" fontId="24" fillId="0" borderId="48" xfId="0" applyFont="1" applyBorder="1"/>
    <xf numFmtId="0" fontId="24" fillId="0" borderId="37" xfId="0" applyFont="1" applyBorder="1"/>
    <xf numFmtId="2" fontId="68" fillId="13" borderId="1" xfId="0" applyNumberFormat="1" applyFont="1" applyFill="1" applyBorder="1" applyAlignment="1" applyProtection="1">
      <alignment horizontal="center" vertical="center" wrapText="1"/>
    </xf>
    <xf numFmtId="2" fontId="68" fillId="13" borderId="1" xfId="0" applyNumberFormat="1" applyFont="1" applyFill="1" applyBorder="1" applyAlignment="1" applyProtection="1">
      <alignment horizontal="center" vertical="center" wrapText="1"/>
      <protection locked="0"/>
    </xf>
    <xf numFmtId="2" fontId="68" fillId="13" borderId="29" xfId="0" applyNumberFormat="1" applyFont="1" applyFill="1" applyBorder="1" applyAlignment="1" applyProtection="1">
      <alignment horizontal="center" vertical="center" wrapText="1"/>
    </xf>
    <xf numFmtId="2" fontId="66" fillId="13" borderId="29" xfId="0" applyNumberFormat="1" applyFont="1" applyFill="1" applyBorder="1" applyAlignment="1" applyProtection="1">
      <alignment horizontal="left" vertical="center" wrapText="1"/>
    </xf>
    <xf numFmtId="2" fontId="67" fillId="13" borderId="0" xfId="0" applyNumberFormat="1" applyFont="1" applyFill="1" applyBorder="1" applyAlignment="1" applyProtection="1">
      <alignment horizontal="left" vertical="center" wrapText="1"/>
    </xf>
    <xf numFmtId="2" fontId="68" fillId="13" borderId="0" xfId="0" applyNumberFormat="1" applyFont="1" applyFill="1" applyBorder="1" applyAlignment="1" applyProtection="1">
      <alignment horizontal="center" vertical="center" wrapText="1"/>
    </xf>
    <xf numFmtId="2" fontId="68" fillId="13" borderId="0" xfId="0" applyNumberFormat="1" applyFont="1" applyFill="1" applyBorder="1" applyAlignment="1" applyProtection="1">
      <alignment horizontal="center" vertical="center" wrapText="1"/>
      <protection locked="0"/>
    </xf>
    <xf numFmtId="2" fontId="69" fillId="13" borderId="0" xfId="0" applyNumberFormat="1" applyFont="1" applyFill="1" applyBorder="1" applyAlignment="1" applyProtection="1">
      <alignment horizontal="center" vertical="top" wrapText="1"/>
    </xf>
    <xf numFmtId="0" fontId="2" fillId="0" borderId="1" xfId="0" applyFont="1" applyFill="1" applyBorder="1"/>
    <xf numFmtId="0" fontId="39" fillId="0" borderId="1" xfId="0" applyFont="1" applyFill="1" applyBorder="1" applyAlignment="1">
      <alignment vertical="center" wrapText="1"/>
    </xf>
    <xf numFmtId="0" fontId="28" fillId="0" borderId="1" xfId="0" applyFont="1" applyFill="1" applyBorder="1" applyAlignment="1">
      <alignment vertical="center" wrapText="1"/>
    </xf>
    <xf numFmtId="0" fontId="0" fillId="14" borderId="0" xfId="0" applyFill="1"/>
    <xf numFmtId="0" fontId="30" fillId="14" borderId="0" xfId="0" applyFont="1" applyFill="1" applyBorder="1" applyAlignment="1">
      <alignment horizontal="left" vertical="center"/>
    </xf>
    <xf numFmtId="0" fontId="30" fillId="14" borderId="0" xfId="0" applyFont="1" applyFill="1" applyBorder="1" applyAlignment="1">
      <alignment horizontal="left" vertical="center" wrapText="1"/>
    </xf>
    <xf numFmtId="0" fontId="4" fillId="14" borderId="0" xfId="0" applyFont="1" applyFill="1" applyBorder="1" applyAlignment="1">
      <alignment horizontal="left" vertical="center"/>
    </xf>
    <xf numFmtId="0" fontId="0" fillId="0" borderId="1" xfId="0" applyBorder="1" applyAlignment="1">
      <alignment horizontal="center" vertical="center" wrapText="1"/>
    </xf>
    <xf numFmtId="0" fontId="0" fillId="0" borderId="1" xfId="0" applyFill="1" applyBorder="1" applyAlignment="1">
      <alignment horizontal="center" vertical="center" wrapText="1"/>
    </xf>
    <xf numFmtId="1" fontId="19" fillId="12" borderId="29" xfId="0" applyNumberFormat="1" applyFont="1" applyFill="1" applyBorder="1" applyAlignment="1">
      <alignment horizontal="center" vertical="center"/>
    </xf>
    <xf numFmtId="1" fontId="18" fillId="11" borderId="1" xfId="0" applyNumberFormat="1" applyFont="1" applyFill="1" applyBorder="1" applyAlignment="1">
      <alignment horizontal="center" vertical="center" wrapText="1"/>
    </xf>
    <xf numFmtId="1" fontId="18" fillId="11" borderId="11" xfId="0" applyNumberFormat="1" applyFont="1" applyFill="1" applyBorder="1" applyAlignment="1">
      <alignment horizontal="center" vertical="center" wrapText="1"/>
    </xf>
    <xf numFmtId="0" fontId="30" fillId="14" borderId="0" xfId="0" applyFont="1" applyFill="1" applyBorder="1" applyAlignment="1">
      <alignment horizontal="left" vertical="center" wrapText="1"/>
    </xf>
    <xf numFmtId="0" fontId="30" fillId="0" borderId="0" xfId="0" applyFont="1" applyFill="1" applyBorder="1" applyAlignment="1">
      <alignment horizontal="left" vertical="center" wrapText="1"/>
    </xf>
    <xf numFmtId="0" fontId="30" fillId="14" borderId="0" xfId="0" applyFont="1" applyFill="1" applyBorder="1" applyAlignment="1">
      <alignment horizontal="left" vertical="center" wrapText="1"/>
    </xf>
    <xf numFmtId="0" fontId="70" fillId="0" borderId="0" xfId="0" applyFont="1" applyFill="1" applyBorder="1" applyAlignment="1">
      <alignment horizontal="left" vertical="center" wrapText="1"/>
    </xf>
    <xf numFmtId="0" fontId="70" fillId="14" borderId="0" xfId="0" applyFont="1" applyFill="1" applyBorder="1" applyAlignment="1">
      <alignment horizontal="left" vertical="center"/>
    </xf>
    <xf numFmtId="0" fontId="70" fillId="14" borderId="0" xfId="0" applyFont="1" applyFill="1" applyBorder="1" applyAlignment="1">
      <alignment horizontal="left" vertical="center" wrapText="1"/>
    </xf>
    <xf numFmtId="0" fontId="0" fillId="0" borderId="11" xfId="0" applyBorder="1" applyAlignment="1">
      <alignment horizontal="left" indent="16"/>
    </xf>
    <xf numFmtId="0" fontId="0" fillId="0" borderId="6" xfId="0" applyBorder="1" applyAlignment="1">
      <alignment horizontal="left" indent="16"/>
    </xf>
    <xf numFmtId="0" fontId="0" fillId="0" borderId="12" xfId="0" applyBorder="1" applyAlignment="1">
      <alignment horizontal="left" indent="16"/>
    </xf>
    <xf numFmtId="2" fontId="0" fillId="2" borderId="9" xfId="0" applyNumberFormat="1" applyFill="1" applyBorder="1" applyAlignment="1" applyProtection="1">
      <alignment horizontal="center"/>
      <protection locked="0"/>
    </xf>
    <xf numFmtId="2" fontId="0" fillId="2" borderId="10" xfId="0" applyNumberFormat="1" applyFill="1" applyBorder="1" applyAlignment="1" applyProtection="1">
      <alignment horizontal="center"/>
      <protection locked="0"/>
    </xf>
    <xf numFmtId="0" fontId="4" fillId="0" borderId="11" xfId="0" applyFont="1" applyBorder="1" applyAlignment="1">
      <alignment horizontal="right"/>
    </xf>
    <xf numFmtId="0" fontId="4" fillId="0" borderId="6" xfId="0" applyFont="1" applyBorder="1" applyAlignment="1">
      <alignment horizontal="right"/>
    </xf>
    <xf numFmtId="0" fontId="4" fillId="0" borderId="12" xfId="0" applyFont="1" applyBorder="1" applyAlignment="1">
      <alignment horizontal="right"/>
    </xf>
    <xf numFmtId="2" fontId="0" fillId="0" borderId="9" xfId="0" applyNumberFormat="1" applyFill="1" applyBorder="1" applyAlignment="1">
      <alignment horizontal="center"/>
    </xf>
    <xf numFmtId="2" fontId="0" fillId="0" borderId="10" xfId="0" applyNumberFormat="1" applyFill="1" applyBorder="1" applyAlignment="1">
      <alignment horizontal="center"/>
    </xf>
    <xf numFmtId="0" fontId="0" fillId="0" borderId="9" xfId="0" applyBorder="1" applyAlignment="1">
      <alignment horizontal="left"/>
    </xf>
    <xf numFmtId="0" fontId="0" fillId="0" borderId="11" xfId="0" applyBorder="1" applyAlignment="1">
      <alignment horizontal="left"/>
    </xf>
    <xf numFmtId="0" fontId="0" fillId="0" borderId="6" xfId="0" applyBorder="1" applyAlignment="1">
      <alignment horizontal="left"/>
    </xf>
    <xf numFmtId="0" fontId="0" fillId="0" borderId="12" xfId="0" applyBorder="1" applyAlignment="1">
      <alignment horizontal="left"/>
    </xf>
    <xf numFmtId="0" fontId="5" fillId="0" borderId="0" xfId="0" applyFont="1" applyAlignment="1">
      <alignment horizontal="center"/>
    </xf>
    <xf numFmtId="0" fontId="6" fillId="0" borderId="0" xfId="0" applyFont="1" applyAlignment="1">
      <alignment horizontal="center"/>
    </xf>
    <xf numFmtId="1" fontId="6" fillId="2" borderId="1" xfId="0" applyNumberFormat="1" applyFont="1" applyFill="1" applyBorder="1" applyAlignment="1" applyProtection="1">
      <alignment horizontal="center" vertical="center"/>
      <protection locked="0"/>
    </xf>
    <xf numFmtId="0" fontId="8" fillId="0" borderId="1" xfId="0" applyFont="1" applyBorder="1" applyAlignment="1">
      <alignment horizontal="center" vertical="center"/>
    </xf>
    <xf numFmtId="0" fontId="8" fillId="2" borderId="1" xfId="0" applyFont="1" applyFill="1" applyBorder="1" applyAlignment="1" applyProtection="1">
      <alignment horizontal="center" vertical="center"/>
      <protection locked="0"/>
    </xf>
    <xf numFmtId="0" fontId="5" fillId="3" borderId="2" xfId="0" applyFont="1" applyFill="1" applyBorder="1" applyAlignment="1">
      <alignment horizontal="center"/>
    </xf>
    <xf numFmtId="0" fontId="5" fillId="3" borderId="3" xfId="0" applyFont="1" applyFill="1" applyBorder="1" applyAlignment="1">
      <alignment horizontal="center"/>
    </xf>
    <xf numFmtId="0" fontId="5" fillId="3" borderId="4" xfId="0" applyFont="1" applyFill="1" applyBorder="1" applyAlignment="1">
      <alignment horizontal="center"/>
    </xf>
    <xf numFmtId="0" fontId="0" fillId="0" borderId="13" xfId="0" applyBorder="1" applyAlignment="1">
      <alignment horizontal="left"/>
    </xf>
    <xf numFmtId="0" fontId="0" fillId="0" borderId="1" xfId="0" applyBorder="1" applyAlignment="1">
      <alignment horizontal="left"/>
    </xf>
    <xf numFmtId="0" fontId="0" fillId="0" borderId="0" xfId="0" applyBorder="1" applyAlignment="1">
      <alignment horizontal="left"/>
    </xf>
    <xf numFmtId="0" fontId="0" fillId="0" borderId="19" xfId="0" applyBorder="1" applyAlignment="1">
      <alignment horizontal="left"/>
    </xf>
    <xf numFmtId="0" fontId="0" fillId="0" borderId="20" xfId="0" applyBorder="1" applyAlignment="1">
      <alignment horizontal="left"/>
    </xf>
    <xf numFmtId="2" fontId="0" fillId="2" borderId="1" xfId="0" applyNumberFormat="1" applyFill="1" applyBorder="1" applyAlignment="1" applyProtection="1">
      <alignment horizontal="center"/>
      <protection locked="0"/>
    </xf>
    <xf numFmtId="2" fontId="0" fillId="2" borderId="14" xfId="0" applyNumberFormat="1" applyFill="1" applyBorder="1" applyAlignment="1" applyProtection="1">
      <alignment horizontal="center"/>
      <protection locked="0"/>
    </xf>
    <xf numFmtId="0" fontId="0" fillId="0" borderId="16" xfId="0" applyBorder="1" applyAlignment="1">
      <alignment horizontal="left" wrapText="1"/>
    </xf>
    <xf numFmtId="2" fontId="0" fillId="2" borderId="33" xfId="0" applyNumberFormat="1" applyFill="1" applyBorder="1" applyAlignment="1" applyProtection="1">
      <alignment horizontal="center" vertical="center"/>
      <protection locked="0"/>
    </xf>
    <xf numFmtId="2" fontId="0" fillId="2" borderId="28" xfId="0" applyNumberFormat="1" applyFill="1" applyBorder="1" applyAlignment="1" applyProtection="1">
      <alignment horizontal="center" vertical="center"/>
      <protection locked="0"/>
    </xf>
    <xf numFmtId="2" fontId="0" fillId="2" borderId="17" xfId="0" applyNumberFormat="1" applyFill="1" applyBorder="1" applyAlignment="1" applyProtection="1">
      <alignment horizontal="center" vertical="center"/>
      <protection locked="0"/>
    </xf>
    <xf numFmtId="2" fontId="0" fillId="2" borderId="18" xfId="0" applyNumberFormat="1" applyFill="1" applyBorder="1" applyAlignment="1" applyProtection="1">
      <alignment horizontal="center" vertical="center"/>
      <protection locked="0"/>
    </xf>
    <xf numFmtId="0" fontId="7" fillId="3" borderId="23" xfId="0" applyFont="1" applyFill="1" applyBorder="1" applyAlignment="1">
      <alignment horizontal="center" vertical="center" wrapText="1"/>
    </xf>
    <xf numFmtId="0" fontId="7" fillId="3" borderId="0" xfId="0" applyFont="1" applyFill="1" applyBorder="1" applyAlignment="1">
      <alignment horizontal="center" vertical="center" wrapText="1"/>
    </xf>
    <xf numFmtId="0" fontId="7" fillId="4" borderId="44" xfId="0" applyFont="1" applyFill="1" applyBorder="1" applyAlignment="1">
      <alignment horizontal="left"/>
    </xf>
    <xf numFmtId="0" fontId="7" fillId="4" borderId="45" xfId="0" applyFont="1" applyFill="1" applyBorder="1" applyAlignment="1">
      <alignment horizontal="left"/>
    </xf>
    <xf numFmtId="0" fontId="7" fillId="4" borderId="49" xfId="0" applyFont="1" applyFill="1" applyBorder="1" applyAlignment="1">
      <alignment horizontal="left"/>
    </xf>
    <xf numFmtId="0" fontId="9" fillId="5" borderId="20" xfId="0" applyFont="1" applyFill="1" applyBorder="1" applyAlignment="1">
      <alignment horizontal="center"/>
    </xf>
    <xf numFmtId="0" fontId="10" fillId="6" borderId="24" xfId="0" applyFont="1" applyFill="1" applyBorder="1" applyAlignment="1">
      <alignment horizontal="center" vertical="center"/>
    </xf>
    <xf numFmtId="0" fontId="10" fillId="6" borderId="25" xfId="0" applyFont="1" applyFill="1" applyBorder="1" applyAlignment="1">
      <alignment horizontal="center" vertical="center"/>
    </xf>
    <xf numFmtId="0" fontId="10" fillId="6" borderId="26" xfId="0" applyFont="1" applyFill="1" applyBorder="1" applyAlignment="1">
      <alignment horizontal="center" vertical="center"/>
    </xf>
    <xf numFmtId="0" fontId="11" fillId="0" borderId="11" xfId="0" applyFont="1" applyBorder="1" applyAlignment="1">
      <alignment horizontal="center" vertical="center"/>
    </xf>
    <xf numFmtId="0" fontId="11" fillId="0" borderId="6" xfId="0" applyFont="1" applyBorder="1" applyAlignment="1">
      <alignment horizontal="center" vertical="center"/>
    </xf>
    <xf numFmtId="0" fontId="11" fillId="0" borderId="12" xfId="0" applyFont="1" applyBorder="1" applyAlignment="1">
      <alignment horizontal="center" vertical="center"/>
    </xf>
    <xf numFmtId="0" fontId="12" fillId="2" borderId="27" xfId="0" applyFont="1" applyFill="1" applyBorder="1" applyAlignment="1">
      <alignment horizontal="center" vertical="center" wrapText="1"/>
    </xf>
    <xf numFmtId="0" fontId="12" fillId="2" borderId="28" xfId="0" applyFont="1" applyFill="1" applyBorder="1" applyAlignment="1">
      <alignment horizontal="center" vertical="center" wrapText="1"/>
    </xf>
    <xf numFmtId="0" fontId="12" fillId="2" borderId="0" xfId="0" applyFont="1" applyFill="1" applyBorder="1" applyAlignment="1">
      <alignment horizontal="center" vertical="center" wrapText="1"/>
    </xf>
    <xf numFmtId="0" fontId="12" fillId="2" borderId="30" xfId="0" applyFont="1" applyFill="1" applyBorder="1" applyAlignment="1">
      <alignment horizontal="center" vertical="center" wrapText="1"/>
    </xf>
    <xf numFmtId="0" fontId="12" fillId="2" borderId="41" xfId="0" applyFont="1" applyFill="1" applyBorder="1" applyAlignment="1">
      <alignment horizontal="center" vertical="center" wrapText="1"/>
    </xf>
    <xf numFmtId="0" fontId="12" fillId="2" borderId="42" xfId="0" applyFont="1" applyFill="1" applyBorder="1" applyAlignment="1">
      <alignment horizontal="center" vertical="center" wrapText="1"/>
    </xf>
    <xf numFmtId="0" fontId="2" fillId="0" borderId="13" xfId="0" applyFont="1" applyBorder="1" applyAlignment="1">
      <alignment horizontal="center" vertical="center" wrapText="1"/>
    </xf>
    <xf numFmtId="0" fontId="2"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0" fillId="0" borderId="15" xfId="0" applyBorder="1" applyAlignment="1">
      <alignment horizontal="left"/>
    </xf>
    <xf numFmtId="0" fontId="0" fillId="0" borderId="16" xfId="0" applyBorder="1" applyAlignment="1">
      <alignment horizontal="left"/>
    </xf>
    <xf numFmtId="0" fontId="0" fillId="0" borderId="13" xfId="0" applyFont="1" applyBorder="1" applyAlignment="1">
      <alignment horizontal="left" vertical="top" wrapText="1"/>
    </xf>
    <xf numFmtId="0" fontId="0" fillId="0" borderId="1" xfId="0" applyFont="1" applyBorder="1" applyAlignment="1">
      <alignment horizontal="left" vertical="top" wrapText="1"/>
    </xf>
    <xf numFmtId="0" fontId="0" fillId="7" borderId="13" xfId="0" applyFont="1" applyFill="1" applyBorder="1" applyAlignment="1">
      <alignment horizontal="left" vertical="top" wrapText="1"/>
    </xf>
    <xf numFmtId="0" fontId="0" fillId="7" borderId="1" xfId="0" applyFont="1" applyFill="1" applyBorder="1" applyAlignment="1">
      <alignment horizontal="left" vertical="top" wrapText="1"/>
    </xf>
    <xf numFmtId="0" fontId="2" fillId="7" borderId="34" xfId="0" applyFont="1" applyFill="1" applyBorder="1" applyAlignment="1">
      <alignment horizontal="center" vertical="center" wrapText="1"/>
    </xf>
    <xf numFmtId="0" fontId="2" fillId="7" borderId="35" xfId="0" applyFont="1" applyFill="1" applyBorder="1" applyAlignment="1">
      <alignment horizontal="center" vertical="center" wrapText="1"/>
    </xf>
    <xf numFmtId="0" fontId="11" fillId="0" borderId="29" xfId="0" applyFont="1" applyFill="1" applyBorder="1" applyAlignment="1">
      <alignment horizontal="center" vertical="center"/>
    </xf>
    <xf numFmtId="0" fontId="11" fillId="0" borderId="9" xfId="0" applyFont="1" applyFill="1" applyBorder="1" applyAlignment="1">
      <alignment horizontal="center" vertical="center"/>
    </xf>
    <xf numFmtId="1" fontId="14" fillId="0" borderId="29" xfId="0" applyNumberFormat="1" applyFont="1" applyBorder="1" applyAlignment="1">
      <alignment horizontal="center" vertical="center"/>
    </xf>
    <xf numFmtId="1" fontId="14" fillId="0" borderId="50" xfId="0" applyNumberFormat="1" applyFont="1" applyBorder="1" applyAlignment="1">
      <alignment horizontal="center" vertical="center"/>
    </xf>
    <xf numFmtId="1" fontId="14" fillId="0" borderId="9" xfId="0" applyNumberFormat="1" applyFont="1" applyBorder="1" applyAlignment="1">
      <alignment horizontal="center" vertical="center"/>
    </xf>
    <xf numFmtId="0" fontId="14" fillId="0" borderId="11"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12" xfId="0" applyFont="1" applyBorder="1" applyAlignment="1">
      <alignment horizontal="center" vertical="center" wrapText="1"/>
    </xf>
    <xf numFmtId="0" fontId="11" fillId="0" borderId="29" xfId="0" applyFont="1" applyBorder="1" applyAlignment="1">
      <alignment horizontal="center" vertical="center"/>
    </xf>
    <xf numFmtId="0" fontId="11" fillId="0" borderId="9" xfId="0" applyFont="1" applyBorder="1" applyAlignment="1">
      <alignment horizontal="center" vertical="center"/>
    </xf>
    <xf numFmtId="0" fontId="15" fillId="0" borderId="34" xfId="0" applyFont="1" applyBorder="1" applyAlignment="1">
      <alignment horizontal="right" vertical="top" wrapText="1"/>
    </xf>
    <xf numFmtId="0" fontId="15" fillId="0" borderId="35" xfId="0" applyFont="1" applyBorder="1" applyAlignment="1">
      <alignment horizontal="right" vertical="top" wrapText="1"/>
    </xf>
    <xf numFmtId="0" fontId="11" fillId="6" borderId="20" xfId="0" applyFont="1" applyFill="1" applyBorder="1" applyAlignment="1">
      <alignment horizontal="center" vertical="center"/>
    </xf>
    <xf numFmtId="0" fontId="11" fillId="6" borderId="21" xfId="0" applyFont="1" applyFill="1" applyBorder="1" applyAlignment="1">
      <alignment horizontal="center" vertical="center"/>
    </xf>
    <xf numFmtId="0" fontId="12" fillId="0" borderId="1" xfId="0" applyFont="1" applyBorder="1" applyAlignment="1">
      <alignment horizontal="center" vertical="center" wrapText="1"/>
    </xf>
    <xf numFmtId="0" fontId="12" fillId="0" borderId="1" xfId="0" applyFont="1" applyBorder="1" applyAlignment="1">
      <alignment horizontal="center" vertical="center"/>
    </xf>
    <xf numFmtId="0" fontId="12" fillId="2" borderId="33" xfId="0" applyFont="1" applyFill="1" applyBorder="1" applyAlignment="1">
      <alignment horizontal="center" vertical="center" wrapText="1"/>
    </xf>
    <xf numFmtId="0" fontId="12" fillId="2" borderId="43" xfId="0" applyFont="1" applyFill="1" applyBorder="1" applyAlignment="1">
      <alignment horizontal="center" vertical="center" wrapText="1"/>
    </xf>
    <xf numFmtId="0" fontId="0" fillId="0" borderId="13" xfId="0" applyBorder="1" applyAlignment="1">
      <alignment horizontal="center" vertical="center" wrapText="1"/>
    </xf>
    <xf numFmtId="0" fontId="0" fillId="0" borderId="1" xfId="0" applyBorder="1" applyAlignment="1">
      <alignment horizontal="center" vertical="center" wrapText="1"/>
    </xf>
    <xf numFmtId="0" fontId="0" fillId="0" borderId="31" xfId="0" applyFont="1" applyFill="1" applyBorder="1" applyAlignment="1">
      <alignment horizontal="left" vertical="center" wrapText="1" indent="6"/>
    </xf>
    <xf numFmtId="0" fontId="0" fillId="0" borderId="32" xfId="0" applyFont="1" applyFill="1" applyBorder="1" applyAlignment="1">
      <alignment horizontal="left" vertical="center" wrapText="1" indent="6"/>
    </xf>
    <xf numFmtId="0" fontId="0" fillId="0" borderId="8" xfId="0" applyFont="1" applyBorder="1" applyAlignment="1">
      <alignment horizontal="left" vertical="top" wrapText="1"/>
    </xf>
    <xf numFmtId="0" fontId="0" fillId="0" borderId="9" xfId="0" applyFont="1" applyBorder="1" applyAlignment="1">
      <alignment horizontal="left" vertical="top" wrapText="1"/>
    </xf>
    <xf numFmtId="0" fontId="0" fillId="0" borderId="5" xfId="0" applyFont="1" applyBorder="1" applyAlignment="1">
      <alignment horizontal="left" vertical="top"/>
    </xf>
    <xf numFmtId="0" fontId="0" fillId="0" borderId="12" xfId="0" applyFont="1" applyBorder="1" applyAlignment="1">
      <alignment horizontal="left" vertical="top"/>
    </xf>
    <xf numFmtId="0" fontId="0" fillId="0" borderId="5" xfId="0" applyFont="1" applyFill="1" applyBorder="1" applyAlignment="1">
      <alignment horizontal="left" vertical="center" wrapText="1" indent="6"/>
    </xf>
    <xf numFmtId="0" fontId="0" fillId="0" borderId="12" xfId="0" applyFont="1" applyFill="1" applyBorder="1" applyAlignment="1">
      <alignment horizontal="left" vertical="center" wrapText="1" indent="6"/>
    </xf>
    <xf numFmtId="9" fontId="11" fillId="0" borderId="1" xfId="1" applyFont="1" applyFill="1" applyBorder="1" applyAlignment="1">
      <alignment horizontal="center" vertical="center" wrapText="1"/>
    </xf>
    <xf numFmtId="0" fontId="12" fillId="0" borderId="13" xfId="0" applyFont="1" applyBorder="1" applyAlignment="1">
      <alignment horizontal="left" vertical="top" wrapText="1"/>
    </xf>
    <xf numFmtId="0" fontId="12" fillId="0" borderId="1" xfId="0" applyFont="1" applyBorder="1" applyAlignment="1">
      <alignment horizontal="left" vertical="top" wrapText="1"/>
    </xf>
    <xf numFmtId="1" fontId="12" fillId="12" borderId="1" xfId="0" applyNumberFormat="1" applyFont="1" applyFill="1" applyBorder="1" applyAlignment="1" applyProtection="1">
      <alignment horizontal="center" vertical="center" wrapText="1"/>
      <protection locked="0"/>
    </xf>
    <xf numFmtId="0" fontId="0" fillId="0" borderId="11" xfId="0" applyBorder="1" applyAlignment="1">
      <alignment horizontal="center" vertical="center" wrapText="1"/>
    </xf>
    <xf numFmtId="0" fontId="13" fillId="0" borderId="29" xfId="0" applyFont="1" applyFill="1" applyBorder="1" applyAlignment="1">
      <alignment horizontal="center" vertical="center"/>
    </xf>
    <xf numFmtId="0" fontId="13" fillId="0" borderId="9" xfId="0" applyFont="1" applyFill="1" applyBorder="1" applyAlignment="1">
      <alignment horizontal="center" vertical="center"/>
    </xf>
    <xf numFmtId="0" fontId="0" fillId="0" borderId="39" xfId="0" applyFont="1" applyBorder="1" applyAlignment="1">
      <alignment horizontal="left" vertical="top" wrapText="1"/>
    </xf>
    <xf numFmtId="0" fontId="0" fillId="0" borderId="29" xfId="0" applyFont="1" applyBorder="1" applyAlignment="1">
      <alignment horizontal="left" vertical="top" wrapText="1"/>
    </xf>
    <xf numFmtId="0" fontId="5" fillId="9" borderId="44" xfId="0" applyFont="1" applyFill="1" applyBorder="1" applyAlignment="1">
      <alignment horizontal="left"/>
    </xf>
    <xf numFmtId="0" fontId="5" fillId="9" borderId="45" xfId="0" applyFont="1" applyFill="1" applyBorder="1" applyAlignment="1">
      <alignment horizontal="left"/>
    </xf>
    <xf numFmtId="0" fontId="5" fillId="9" borderId="49" xfId="0" applyFont="1" applyFill="1" applyBorder="1" applyAlignment="1">
      <alignment horizontal="left"/>
    </xf>
    <xf numFmtId="0" fontId="11" fillId="0" borderId="34" xfId="0" applyFont="1" applyBorder="1" applyAlignment="1">
      <alignment horizontal="right" vertical="center" wrapText="1"/>
    </xf>
    <xf numFmtId="0" fontId="11" fillId="0" borderId="35" xfId="0" applyFont="1" applyBorder="1" applyAlignment="1">
      <alignment horizontal="right" vertical="center" wrapText="1"/>
    </xf>
    <xf numFmtId="1" fontId="11" fillId="0" borderId="40" xfId="0" applyNumberFormat="1" applyFont="1" applyBorder="1" applyAlignment="1">
      <alignment horizontal="center" vertical="center" wrapText="1"/>
    </xf>
    <xf numFmtId="0" fontId="11" fillId="0" borderId="35" xfId="0" applyFont="1" applyBorder="1" applyAlignment="1">
      <alignment horizontal="center" vertical="center" wrapText="1"/>
    </xf>
    <xf numFmtId="1" fontId="2" fillId="0" borderId="40" xfId="0" applyNumberFormat="1" applyFont="1" applyBorder="1" applyAlignment="1">
      <alignment horizontal="center" vertical="center" wrapText="1"/>
    </xf>
    <xf numFmtId="0" fontId="2" fillId="0" borderId="35" xfId="0" applyFont="1" applyBorder="1" applyAlignment="1">
      <alignment horizontal="center" vertical="center" wrapText="1"/>
    </xf>
    <xf numFmtId="9" fontId="11" fillId="0" borderId="40" xfId="1" applyFont="1" applyFill="1" applyBorder="1" applyAlignment="1">
      <alignment horizontal="center" vertical="center" wrapText="1"/>
    </xf>
    <xf numFmtId="9" fontId="11" fillId="0" borderId="35" xfId="1" applyFont="1" applyFill="1" applyBorder="1" applyAlignment="1">
      <alignment horizontal="center" vertical="center" wrapText="1"/>
    </xf>
    <xf numFmtId="0" fontId="5" fillId="9" borderId="2" xfId="0" applyFont="1" applyFill="1" applyBorder="1" applyAlignment="1">
      <alignment horizontal="center"/>
    </xf>
    <xf numFmtId="0" fontId="5" fillId="9" borderId="3" xfId="0" applyFont="1" applyFill="1" applyBorder="1" applyAlignment="1">
      <alignment horizontal="center"/>
    </xf>
    <xf numFmtId="0" fontId="5" fillId="9" borderId="4" xfId="0" applyFont="1" applyFill="1" applyBorder="1" applyAlignment="1">
      <alignment horizontal="center"/>
    </xf>
    <xf numFmtId="0" fontId="9" fillId="5" borderId="44" xfId="0" applyFont="1" applyFill="1" applyBorder="1" applyAlignment="1">
      <alignment horizontal="center"/>
    </xf>
    <xf numFmtId="0" fontId="9" fillId="5" borderId="45" xfId="0" applyFont="1" applyFill="1" applyBorder="1" applyAlignment="1">
      <alignment horizontal="center"/>
    </xf>
    <xf numFmtId="0" fontId="9" fillId="5" borderId="46" xfId="0" applyFont="1" applyFill="1" applyBorder="1" applyAlignment="1">
      <alignment horizontal="center"/>
    </xf>
    <xf numFmtId="0" fontId="12" fillId="0" borderId="39" xfId="0" applyFont="1" applyBorder="1" applyAlignment="1">
      <alignment horizontal="left" vertical="top" wrapText="1"/>
    </xf>
    <xf numFmtId="0" fontId="12" fillId="0" borderId="29" xfId="0" applyFont="1" applyBorder="1" applyAlignment="1">
      <alignment horizontal="left" vertical="top" wrapText="1"/>
    </xf>
    <xf numFmtId="1" fontId="12" fillId="12" borderId="29" xfId="0" applyNumberFormat="1" applyFont="1" applyFill="1" applyBorder="1" applyAlignment="1" applyProtection="1">
      <alignment horizontal="center" vertical="center" wrapText="1"/>
      <protection locked="0"/>
    </xf>
    <xf numFmtId="1" fontId="0" fillId="12" borderId="29" xfId="0" applyNumberFormat="1" applyFill="1" applyBorder="1" applyAlignment="1" applyProtection="1">
      <alignment horizontal="center" vertical="center" wrapText="1"/>
      <protection locked="0"/>
    </xf>
    <xf numFmtId="1" fontId="0" fillId="12" borderId="33" xfId="0" applyNumberFormat="1" applyFill="1" applyBorder="1" applyAlignment="1" applyProtection="1">
      <alignment horizontal="center" vertical="center" wrapText="1"/>
      <protection locked="0"/>
    </xf>
    <xf numFmtId="9" fontId="11" fillId="0" borderId="29" xfId="1" applyFont="1" applyFill="1" applyBorder="1" applyAlignment="1">
      <alignment horizontal="center" vertical="center" wrapText="1"/>
    </xf>
    <xf numFmtId="0" fontId="13" fillId="0" borderId="50" xfId="0" applyFont="1" applyFill="1" applyBorder="1" applyAlignment="1">
      <alignment horizontal="center" vertical="center"/>
    </xf>
    <xf numFmtId="0" fontId="13" fillId="0" borderId="67" xfId="0" applyFont="1" applyFill="1" applyBorder="1" applyAlignment="1">
      <alignment horizontal="center" vertical="center"/>
    </xf>
    <xf numFmtId="1" fontId="0" fillId="12" borderId="1" xfId="0" applyNumberFormat="1" applyFill="1" applyBorder="1" applyAlignment="1" applyProtection="1">
      <alignment horizontal="center" vertical="center" wrapText="1"/>
      <protection locked="0"/>
    </xf>
    <xf numFmtId="1" fontId="0" fillId="12" borderId="11" xfId="0" applyNumberFormat="1" applyFill="1" applyBorder="1" applyAlignment="1" applyProtection="1">
      <alignment horizontal="center" vertical="center" wrapText="1"/>
      <protection locked="0"/>
    </xf>
    <xf numFmtId="0" fontId="18" fillId="10" borderId="13" xfId="0" applyFont="1" applyFill="1" applyBorder="1" applyAlignment="1">
      <alignment horizontal="left" vertical="center" wrapText="1"/>
    </xf>
    <xf numFmtId="0" fontId="18" fillId="10" borderId="1" xfId="0" applyFont="1" applyFill="1" applyBorder="1" applyAlignment="1">
      <alignment horizontal="left" vertical="center" wrapText="1"/>
    </xf>
    <xf numFmtId="1" fontId="18" fillId="2" borderId="1" xfId="0" applyNumberFormat="1" applyFont="1" applyFill="1" applyBorder="1" applyAlignment="1" applyProtection="1">
      <alignment horizontal="center" vertical="center"/>
      <protection locked="0"/>
    </xf>
    <xf numFmtId="1" fontId="18" fillId="2" borderId="1" xfId="0" applyNumberFormat="1" applyFont="1" applyFill="1" applyBorder="1" applyAlignment="1" applyProtection="1">
      <alignment horizontal="center" vertical="center" wrapText="1"/>
      <protection locked="0"/>
    </xf>
    <xf numFmtId="9" fontId="18" fillId="0" borderId="11" xfId="1" applyFont="1" applyBorder="1" applyAlignment="1">
      <alignment horizontal="center" vertical="center" wrapText="1"/>
    </xf>
    <xf numFmtId="9" fontId="18" fillId="0" borderId="12" xfId="1" applyFont="1" applyBorder="1" applyAlignment="1">
      <alignment horizontal="center" vertical="center" wrapText="1"/>
    </xf>
    <xf numFmtId="0" fontId="18" fillId="0" borderId="13" xfId="0" applyFont="1" applyBorder="1" applyAlignment="1">
      <alignment horizontal="left" vertical="center" wrapText="1"/>
    </xf>
    <xf numFmtId="0" fontId="18" fillId="0" borderId="1" xfId="0" applyFont="1" applyBorder="1" applyAlignment="1">
      <alignment horizontal="left" vertical="center" wrapText="1"/>
    </xf>
    <xf numFmtId="1" fontId="18" fillId="2" borderId="11" xfId="0" applyNumberFormat="1" applyFont="1" applyFill="1" applyBorder="1" applyAlignment="1" applyProtection="1">
      <alignment horizontal="center" vertical="center"/>
      <protection locked="0"/>
    </xf>
    <xf numFmtId="1" fontId="18" fillId="2" borderId="12" xfId="0" applyNumberFormat="1" applyFont="1" applyFill="1" applyBorder="1" applyAlignment="1" applyProtection="1">
      <alignment horizontal="center" vertical="center"/>
      <protection locked="0"/>
    </xf>
    <xf numFmtId="1" fontId="18" fillId="2" borderId="11" xfId="0" applyNumberFormat="1" applyFont="1" applyFill="1" applyBorder="1" applyAlignment="1" applyProtection="1">
      <alignment horizontal="center" vertical="center" wrapText="1"/>
      <protection locked="0"/>
    </xf>
    <xf numFmtId="1" fontId="18" fillId="2" borderId="12" xfId="0" applyNumberFormat="1" applyFont="1" applyFill="1" applyBorder="1" applyAlignment="1" applyProtection="1">
      <alignment horizontal="center" vertical="center" wrapText="1"/>
      <protection locked="0"/>
    </xf>
    <xf numFmtId="0" fontId="11" fillId="6" borderId="2" xfId="0" applyFont="1" applyFill="1" applyBorder="1" applyAlignment="1">
      <alignment horizontal="center" vertical="center"/>
    </xf>
    <xf numFmtId="0" fontId="11" fillId="6" borderId="3" xfId="0" applyFont="1" applyFill="1" applyBorder="1" applyAlignment="1">
      <alignment horizontal="center" vertical="center"/>
    </xf>
    <xf numFmtId="0" fontId="11" fillId="6" borderId="4" xfId="0" applyFont="1" applyFill="1" applyBorder="1" applyAlignment="1">
      <alignment horizontal="center" vertical="center"/>
    </xf>
    <xf numFmtId="0" fontId="11" fillId="0" borderId="1" xfId="0" applyFont="1" applyBorder="1" applyAlignment="1">
      <alignment horizontal="center" vertical="center"/>
    </xf>
    <xf numFmtId="0" fontId="12" fillId="2" borderId="33" xfId="0" applyFont="1" applyFill="1" applyBorder="1" applyAlignment="1" applyProtection="1">
      <alignment horizontal="center" vertical="center" wrapText="1"/>
      <protection locked="0"/>
    </xf>
    <xf numFmtId="0" fontId="12" fillId="2" borderId="27" xfId="0" applyFont="1" applyFill="1" applyBorder="1" applyAlignment="1" applyProtection="1">
      <alignment horizontal="center" vertical="center" wrapText="1"/>
      <protection locked="0"/>
    </xf>
    <xf numFmtId="0" fontId="12" fillId="2" borderId="28" xfId="0" applyFont="1" applyFill="1" applyBorder="1" applyAlignment="1" applyProtection="1">
      <alignment horizontal="center" vertical="center" wrapText="1"/>
      <protection locked="0"/>
    </xf>
    <xf numFmtId="0" fontId="12" fillId="2" borderId="43" xfId="0" applyFont="1" applyFill="1" applyBorder="1" applyAlignment="1" applyProtection="1">
      <alignment horizontal="center" vertical="center" wrapText="1"/>
      <protection locked="0"/>
    </xf>
    <xf numFmtId="0" fontId="12" fillId="2" borderId="0" xfId="0" applyFont="1" applyFill="1" applyBorder="1" applyAlignment="1" applyProtection="1">
      <alignment horizontal="center" vertical="center" wrapText="1"/>
      <protection locked="0"/>
    </xf>
    <xf numFmtId="0" fontId="12" fillId="2" borderId="30" xfId="0" applyFont="1" applyFill="1" applyBorder="1" applyAlignment="1" applyProtection="1">
      <alignment horizontal="center" vertical="center" wrapText="1"/>
      <protection locked="0"/>
    </xf>
    <xf numFmtId="0" fontId="12" fillId="2" borderId="41" xfId="0" applyFont="1" applyFill="1" applyBorder="1" applyAlignment="1" applyProtection="1">
      <alignment horizontal="center" vertical="center" wrapText="1"/>
      <protection locked="0"/>
    </xf>
    <xf numFmtId="0" fontId="12" fillId="2" borderId="42" xfId="0" applyFont="1" applyFill="1" applyBorder="1" applyAlignment="1" applyProtection="1">
      <alignment horizontal="center" vertical="center" wrapText="1"/>
      <protection locked="0"/>
    </xf>
    <xf numFmtId="0" fontId="16" fillId="0" borderId="13"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11" xfId="0" applyFont="1" applyBorder="1" applyAlignment="1">
      <alignment horizontal="center" vertical="center" wrapText="1"/>
    </xf>
    <xf numFmtId="0" fontId="18" fillId="0" borderId="39" xfId="0" applyFont="1" applyBorder="1" applyAlignment="1">
      <alignment horizontal="left" vertical="center" wrapText="1"/>
    </xf>
    <xf numFmtId="0" fontId="18" fillId="0" borderId="29" xfId="0" applyFont="1" applyBorder="1" applyAlignment="1">
      <alignment horizontal="left" vertical="center" wrapText="1"/>
    </xf>
    <xf numFmtId="1" fontId="18" fillId="2" borderId="29" xfId="0" applyNumberFormat="1" applyFont="1" applyFill="1" applyBorder="1" applyAlignment="1" applyProtection="1">
      <alignment horizontal="center" vertical="center"/>
      <protection locked="0"/>
    </xf>
    <xf numFmtId="1" fontId="18" fillId="2" borderId="29" xfId="0" applyNumberFormat="1" applyFont="1" applyFill="1" applyBorder="1" applyAlignment="1" applyProtection="1">
      <alignment horizontal="center" vertical="center" wrapText="1"/>
      <protection locked="0"/>
    </xf>
    <xf numFmtId="9" fontId="18" fillId="0" borderId="33" xfId="1" applyFont="1" applyBorder="1" applyAlignment="1">
      <alignment horizontal="center" vertical="center" wrapText="1"/>
    </xf>
    <xf numFmtId="9" fontId="18" fillId="0" borderId="32" xfId="1" applyFont="1" applyBorder="1" applyAlignment="1">
      <alignment horizontal="center" vertical="center" wrapText="1"/>
    </xf>
    <xf numFmtId="0" fontId="5" fillId="0" borderId="34" xfId="0" applyFont="1" applyBorder="1" applyAlignment="1">
      <alignment horizontal="center"/>
    </xf>
    <xf numFmtId="0" fontId="5" fillId="0" borderId="35" xfId="0" applyFont="1" applyBorder="1" applyAlignment="1">
      <alignment horizontal="center"/>
    </xf>
    <xf numFmtId="1" fontId="15" fillId="0" borderId="40" xfId="0" applyNumberFormat="1" applyFont="1" applyBorder="1" applyAlignment="1">
      <alignment horizontal="center"/>
    </xf>
    <xf numFmtId="1" fontId="15" fillId="0" borderId="35" xfId="0" applyNumberFormat="1" applyFont="1" applyBorder="1" applyAlignment="1">
      <alignment horizontal="center"/>
    </xf>
    <xf numFmtId="9" fontId="5" fillId="0" borderId="40" xfId="0" applyNumberFormat="1" applyFont="1" applyBorder="1" applyAlignment="1">
      <alignment horizontal="center" wrapText="1"/>
    </xf>
    <xf numFmtId="9" fontId="5" fillId="0" borderId="35" xfId="0" applyNumberFormat="1" applyFont="1" applyBorder="1" applyAlignment="1">
      <alignment horizontal="center" wrapText="1"/>
    </xf>
    <xf numFmtId="0" fontId="5" fillId="9" borderId="44" xfId="0" applyFont="1" applyFill="1" applyBorder="1" applyAlignment="1">
      <alignment horizontal="center" vertical="center"/>
    </xf>
    <xf numFmtId="0" fontId="5" fillId="9" borderId="45" xfId="0" applyFont="1" applyFill="1" applyBorder="1" applyAlignment="1">
      <alignment horizontal="center" vertical="center"/>
    </xf>
    <xf numFmtId="0" fontId="5" fillId="6" borderId="49" xfId="0" applyFont="1" applyFill="1" applyBorder="1" applyAlignment="1">
      <alignment horizontal="center" vertical="center"/>
    </xf>
    <xf numFmtId="0" fontId="5" fillId="6" borderId="3" xfId="0" applyFont="1" applyFill="1" applyBorder="1" applyAlignment="1">
      <alignment horizontal="center" vertical="center"/>
    </xf>
    <xf numFmtId="0" fontId="5" fillId="6" borderId="4" xfId="0" applyFont="1" applyFill="1" applyBorder="1" applyAlignment="1">
      <alignment horizontal="center" vertical="center"/>
    </xf>
    <xf numFmtId="0" fontId="19" fillId="0" borderId="1" xfId="0" applyFont="1" applyBorder="1" applyAlignment="1">
      <alignment horizontal="center" vertical="center" wrapText="1"/>
    </xf>
    <xf numFmtId="0" fontId="19" fillId="0" borderId="1" xfId="0" applyFont="1" applyBorder="1" applyAlignment="1">
      <alignment horizontal="center" vertical="center"/>
    </xf>
    <xf numFmtId="0" fontId="19" fillId="2" borderId="33" xfId="0" applyFont="1" applyFill="1" applyBorder="1" applyAlignment="1" applyProtection="1">
      <alignment horizontal="center" vertical="center" wrapText="1"/>
      <protection locked="0"/>
    </xf>
    <xf numFmtId="0" fontId="19" fillId="2" borderId="27" xfId="0" applyFont="1" applyFill="1" applyBorder="1" applyAlignment="1" applyProtection="1">
      <alignment horizontal="center" vertical="center" wrapText="1"/>
      <protection locked="0"/>
    </xf>
    <xf numFmtId="0" fontId="19" fillId="2" borderId="28" xfId="0" applyFont="1" applyFill="1" applyBorder="1" applyAlignment="1" applyProtection="1">
      <alignment horizontal="center" vertical="center" wrapText="1"/>
      <protection locked="0"/>
    </xf>
    <xf numFmtId="0" fontId="19" fillId="2" borderId="43" xfId="0" applyFont="1" applyFill="1" applyBorder="1" applyAlignment="1" applyProtection="1">
      <alignment horizontal="center" vertical="center" wrapText="1"/>
      <protection locked="0"/>
    </xf>
    <xf numFmtId="0" fontId="19" fillId="2" borderId="0" xfId="0" applyFont="1" applyFill="1" applyBorder="1" applyAlignment="1" applyProtection="1">
      <alignment horizontal="center" vertical="center" wrapText="1"/>
      <protection locked="0"/>
    </xf>
    <xf numFmtId="0" fontId="19" fillId="2" borderId="30" xfId="0" applyFont="1" applyFill="1" applyBorder="1" applyAlignment="1" applyProtection="1">
      <alignment horizontal="center" vertical="center" wrapText="1"/>
      <protection locked="0"/>
    </xf>
    <xf numFmtId="0" fontId="19" fillId="2" borderId="41" xfId="0" applyFont="1" applyFill="1" applyBorder="1" applyAlignment="1" applyProtection="1">
      <alignment horizontal="center" vertical="center" wrapText="1"/>
      <protection locked="0"/>
    </xf>
    <xf numFmtId="0" fontId="19" fillId="2" borderId="42" xfId="0" applyFont="1" applyFill="1" applyBorder="1" applyAlignment="1" applyProtection="1">
      <alignment horizontal="center" vertical="center" wrapText="1"/>
      <protection locked="0"/>
    </xf>
    <xf numFmtId="0" fontId="19" fillId="0" borderId="13" xfId="0" applyFont="1" applyBorder="1" applyAlignment="1">
      <alignment horizontal="center" vertical="center"/>
    </xf>
    <xf numFmtId="0" fontId="19" fillId="0" borderId="13" xfId="0" applyFont="1" applyBorder="1" applyAlignment="1">
      <alignment horizontal="left" vertical="center"/>
    </xf>
    <xf numFmtId="0" fontId="19" fillId="0" borderId="1" xfId="0" applyFont="1" applyBorder="1" applyAlignment="1">
      <alignment horizontal="left" vertical="center"/>
    </xf>
    <xf numFmtId="1" fontId="11" fillId="12" borderId="1" xfId="0" applyNumberFormat="1" applyFont="1" applyFill="1" applyBorder="1" applyAlignment="1" applyProtection="1">
      <alignment horizontal="center" vertical="center" wrapText="1"/>
      <protection locked="0"/>
    </xf>
    <xf numFmtId="1" fontId="11" fillId="12" borderId="14" xfId="0" applyNumberFormat="1" applyFont="1" applyFill="1" applyBorder="1" applyAlignment="1" applyProtection="1">
      <alignment horizontal="center" vertical="center" wrapText="1"/>
      <protection locked="0"/>
    </xf>
    <xf numFmtId="0" fontId="19" fillId="0" borderId="39" xfId="0" applyFont="1" applyBorder="1" applyAlignment="1">
      <alignment horizontal="left" vertical="center"/>
    </xf>
    <xf numFmtId="0" fontId="19" fillId="0" borderId="29" xfId="0" applyFont="1" applyBorder="1" applyAlignment="1">
      <alignment horizontal="left" vertical="center"/>
    </xf>
    <xf numFmtId="1" fontId="11" fillId="12" borderId="29" xfId="0" applyNumberFormat="1" applyFont="1" applyFill="1" applyBorder="1" applyAlignment="1" applyProtection="1">
      <alignment horizontal="center" vertical="center" wrapText="1"/>
      <protection locked="0"/>
    </xf>
    <xf numFmtId="1" fontId="11" fillId="12" borderId="47" xfId="0" applyNumberFormat="1" applyFont="1" applyFill="1" applyBorder="1" applyAlignment="1" applyProtection="1">
      <alignment horizontal="center" vertical="center" wrapText="1"/>
      <protection locked="0"/>
    </xf>
    <xf numFmtId="0" fontId="10" fillId="0" borderId="48" xfId="0" applyFont="1" applyBorder="1" applyAlignment="1">
      <alignment horizontal="right" vertical="center"/>
    </xf>
    <xf numFmtId="0" fontId="10" fillId="0" borderId="36" xfId="0" applyFont="1" applyBorder="1" applyAlignment="1">
      <alignment horizontal="right" vertical="center"/>
    </xf>
    <xf numFmtId="1" fontId="11" fillId="0" borderId="36" xfId="0" applyNumberFormat="1" applyFont="1" applyBorder="1" applyAlignment="1">
      <alignment horizontal="center" vertical="center" wrapText="1"/>
    </xf>
    <xf numFmtId="0" fontId="11" fillId="0" borderId="37" xfId="0" applyFont="1" applyBorder="1" applyAlignment="1">
      <alignment horizontal="center" vertical="center" wrapText="1"/>
    </xf>
    <xf numFmtId="0" fontId="5" fillId="7" borderId="19" xfId="0" applyFont="1" applyFill="1" applyBorder="1" applyAlignment="1">
      <alignment horizontal="center"/>
    </xf>
    <xf numFmtId="0" fontId="5" fillId="7" borderId="20" xfId="0" applyFont="1" applyFill="1" applyBorder="1" applyAlignment="1">
      <alignment horizontal="center"/>
    </xf>
    <xf numFmtId="0" fontId="5" fillId="7" borderId="21" xfId="0" applyFont="1" applyFill="1" applyBorder="1" applyAlignment="1">
      <alignment horizontal="center"/>
    </xf>
    <xf numFmtId="0" fontId="12" fillId="0" borderId="1" xfId="0" applyFont="1" applyBorder="1" applyAlignment="1">
      <alignment horizontal="center" wrapText="1"/>
    </xf>
    <xf numFmtId="0" fontId="12" fillId="0" borderId="14" xfId="0" applyFont="1" applyBorder="1" applyAlignment="1">
      <alignment horizontal="center" wrapText="1"/>
    </xf>
    <xf numFmtId="1" fontId="10" fillId="12" borderId="1" xfId="0" applyNumberFormat="1" applyFont="1" applyFill="1" applyBorder="1" applyAlignment="1" applyProtection="1">
      <alignment horizontal="center" vertical="center"/>
      <protection locked="0"/>
    </xf>
    <xf numFmtId="9" fontId="10" fillId="0" borderId="1" xfId="1" applyFont="1" applyBorder="1" applyAlignment="1">
      <alignment horizontal="center" vertical="center"/>
    </xf>
    <xf numFmtId="0" fontId="5" fillId="6" borderId="20" xfId="0" applyFont="1" applyFill="1" applyBorder="1" applyAlignment="1">
      <alignment horizontal="center" vertical="center"/>
    </xf>
    <xf numFmtId="0" fontId="5" fillId="6" borderId="21" xfId="0" applyFont="1" applyFill="1" applyBorder="1" applyAlignment="1">
      <alignment horizontal="center" vertical="center"/>
    </xf>
    <xf numFmtId="0" fontId="19" fillId="2" borderId="27" xfId="0" applyFont="1" applyFill="1" applyBorder="1" applyAlignment="1">
      <alignment horizontal="center" vertical="center" wrapText="1"/>
    </xf>
    <xf numFmtId="0" fontId="19" fillId="2" borderId="0" xfId="0" applyFont="1" applyFill="1" applyBorder="1" applyAlignment="1">
      <alignment horizontal="center" vertical="center" wrapText="1"/>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38" xfId="0" applyFont="1" applyBorder="1" applyAlignment="1">
      <alignment horizontal="center" vertical="center" wrapText="1"/>
    </xf>
    <xf numFmtId="1" fontId="10" fillId="12" borderId="17" xfId="0" applyNumberFormat="1" applyFont="1" applyFill="1" applyBorder="1" applyAlignment="1" applyProtection="1">
      <alignment horizontal="center" vertical="center"/>
      <protection locked="0"/>
    </xf>
    <xf numFmtId="1" fontId="10" fillId="12" borderId="51" xfId="0" applyNumberFormat="1" applyFont="1" applyFill="1" applyBorder="1" applyAlignment="1" applyProtection="1">
      <alignment horizontal="center" vertical="center"/>
      <protection locked="0"/>
    </xf>
    <xf numFmtId="1" fontId="17" fillId="12" borderId="29" xfId="0" applyNumberFormat="1" applyFont="1" applyFill="1" applyBorder="1" applyAlignment="1" applyProtection="1">
      <alignment horizontal="center"/>
      <protection locked="0"/>
    </xf>
    <xf numFmtId="9" fontId="10" fillId="0" borderId="29" xfId="1" applyFont="1" applyBorder="1" applyAlignment="1">
      <alignment horizontal="center" vertical="center"/>
    </xf>
    <xf numFmtId="1" fontId="10" fillId="0" borderId="36" xfId="0" applyNumberFormat="1" applyFont="1" applyFill="1" applyBorder="1" applyAlignment="1">
      <alignment horizontal="center" vertical="center"/>
    </xf>
    <xf numFmtId="9" fontId="10" fillId="0" borderId="36" xfId="1" applyFont="1" applyBorder="1" applyAlignment="1">
      <alignment horizontal="center" vertical="center"/>
    </xf>
    <xf numFmtId="0" fontId="17" fillId="0" borderId="1" xfId="0" applyFont="1" applyBorder="1" applyAlignment="1">
      <alignment horizontal="center" vertical="center" wrapText="1"/>
    </xf>
    <xf numFmtId="1" fontId="17" fillId="0" borderId="1" xfId="0" applyNumberFormat="1" applyFont="1" applyFill="1" applyBorder="1" applyAlignment="1">
      <alignment horizontal="center" vertical="center"/>
    </xf>
    <xf numFmtId="1" fontId="17" fillId="12" borderId="1" xfId="0" applyNumberFormat="1" applyFont="1" applyFill="1" applyBorder="1" applyAlignment="1" applyProtection="1">
      <alignment horizontal="center" vertical="center"/>
      <protection locked="0"/>
    </xf>
    <xf numFmtId="0" fontId="18" fillId="0" borderId="13" xfId="0" applyFont="1" applyBorder="1" applyAlignment="1">
      <alignment horizontal="left" vertical="top" wrapText="1"/>
    </xf>
    <xf numFmtId="0" fontId="18" fillId="0" borderId="1" xfId="0" applyFont="1" applyBorder="1" applyAlignment="1">
      <alignment horizontal="left" vertical="top" wrapText="1"/>
    </xf>
    <xf numFmtId="1" fontId="18" fillId="11" borderId="33" xfId="0" applyNumberFormat="1" applyFont="1" applyFill="1" applyBorder="1" applyAlignment="1" applyProtection="1">
      <alignment horizontal="center" vertical="center"/>
      <protection locked="0"/>
    </xf>
    <xf numFmtId="1" fontId="18" fillId="11" borderId="32" xfId="0" applyNumberFormat="1" applyFont="1" applyFill="1" applyBorder="1" applyAlignment="1" applyProtection="1">
      <alignment horizontal="center" vertical="center"/>
      <protection locked="0"/>
    </xf>
    <xf numFmtId="9" fontId="18" fillId="0" borderId="1" xfId="1" applyNumberFormat="1" applyFont="1" applyBorder="1" applyAlignment="1">
      <alignment horizontal="center" vertical="center"/>
    </xf>
    <xf numFmtId="0" fontId="16" fillId="7" borderId="68" xfId="0" applyFont="1" applyFill="1" applyBorder="1" applyAlignment="1">
      <alignment horizontal="left" vertical="center" wrapText="1"/>
    </xf>
    <xf numFmtId="0" fontId="16" fillId="7" borderId="57" xfId="0" applyFont="1" applyFill="1" applyBorder="1" applyAlignment="1">
      <alignment horizontal="left" vertical="center" wrapText="1"/>
    </xf>
    <xf numFmtId="0" fontId="16" fillId="7" borderId="52" xfId="0" applyFont="1" applyFill="1" applyBorder="1" applyAlignment="1">
      <alignment horizontal="left" vertical="center" wrapText="1"/>
    </xf>
    <xf numFmtId="0" fontId="9" fillId="5" borderId="20" xfId="0" applyFont="1" applyFill="1" applyBorder="1" applyAlignment="1">
      <alignment horizontal="center" vertical="center"/>
    </xf>
    <xf numFmtId="1" fontId="18" fillId="11" borderId="1" xfId="0" applyNumberFormat="1" applyFont="1" applyFill="1" applyBorder="1" applyAlignment="1" applyProtection="1">
      <alignment horizontal="center" vertical="center"/>
      <protection locked="0"/>
    </xf>
    <xf numFmtId="0" fontId="16" fillId="7" borderId="6" xfId="0" applyFont="1" applyFill="1" applyBorder="1" applyAlignment="1">
      <alignment horizontal="center" vertical="top" wrapText="1"/>
    </xf>
    <xf numFmtId="1" fontId="16" fillId="7" borderId="11" xfId="0" applyNumberFormat="1" applyFont="1" applyFill="1" applyBorder="1" applyAlignment="1">
      <alignment horizontal="center" vertical="center"/>
    </xf>
    <xf numFmtId="1" fontId="16" fillId="7" borderId="12" xfId="0" applyNumberFormat="1" applyFont="1" applyFill="1" applyBorder="1" applyAlignment="1">
      <alignment horizontal="center" vertical="center"/>
    </xf>
    <xf numFmtId="9" fontId="16" fillId="7" borderId="1" xfId="1" applyNumberFormat="1" applyFont="1" applyFill="1" applyBorder="1" applyAlignment="1">
      <alignment horizontal="center" vertical="center"/>
    </xf>
    <xf numFmtId="0" fontId="18" fillId="0" borderId="1" xfId="0" applyFont="1" applyBorder="1" applyAlignment="1">
      <alignment horizontal="left" vertical="center"/>
    </xf>
    <xf numFmtId="9" fontId="18" fillId="2" borderId="1" xfId="1" applyFont="1" applyFill="1" applyBorder="1" applyAlignment="1" applyProtection="1">
      <alignment horizontal="center" vertical="center"/>
      <protection locked="0"/>
    </xf>
    <xf numFmtId="1" fontId="19" fillId="2" borderId="1" xfId="0" applyNumberFormat="1" applyFont="1" applyFill="1" applyBorder="1" applyAlignment="1" applyProtection="1">
      <alignment horizontal="center" vertical="center"/>
      <protection locked="0"/>
    </xf>
    <xf numFmtId="1" fontId="18" fillId="2" borderId="33" xfId="0" applyNumberFormat="1" applyFont="1" applyFill="1" applyBorder="1" applyAlignment="1" applyProtection="1">
      <alignment horizontal="center" vertical="center"/>
      <protection locked="0"/>
    </xf>
    <xf numFmtId="1" fontId="18" fillId="2" borderId="32" xfId="0" applyNumberFormat="1" applyFont="1" applyFill="1" applyBorder="1" applyAlignment="1" applyProtection="1">
      <alignment horizontal="center" vertical="center"/>
      <protection locked="0"/>
    </xf>
    <xf numFmtId="1" fontId="18" fillId="2" borderId="38" xfId="0" applyNumberFormat="1" applyFont="1" applyFill="1" applyBorder="1" applyAlignment="1" applyProtection="1">
      <alignment horizontal="center" vertical="center"/>
      <protection locked="0"/>
    </xf>
    <xf numFmtId="1" fontId="18" fillId="2" borderId="52" xfId="0" applyNumberFormat="1" applyFont="1" applyFill="1" applyBorder="1" applyAlignment="1" applyProtection="1">
      <alignment horizontal="center" vertical="center"/>
      <protection locked="0"/>
    </xf>
    <xf numFmtId="0" fontId="18" fillId="0" borderId="39" xfId="0" applyFont="1" applyFill="1" applyBorder="1" applyAlignment="1">
      <alignment horizontal="left" vertical="center" wrapText="1"/>
    </xf>
    <xf numFmtId="0" fontId="18" fillId="0" borderId="29" xfId="0" applyFont="1" applyFill="1" applyBorder="1" applyAlignment="1">
      <alignment horizontal="left" vertical="center"/>
    </xf>
    <xf numFmtId="9" fontId="18" fillId="2" borderId="29" xfId="1" applyFont="1" applyFill="1" applyBorder="1" applyAlignment="1" applyProtection="1">
      <alignment horizontal="center" vertical="center"/>
      <protection locked="0"/>
    </xf>
    <xf numFmtId="0" fontId="16" fillId="7" borderId="29" xfId="0" applyFont="1" applyFill="1" applyBorder="1" applyAlignment="1">
      <alignment horizontal="center" vertical="top" wrapText="1"/>
    </xf>
    <xf numFmtId="0" fontId="5" fillId="7" borderId="29" xfId="0" applyFont="1" applyFill="1" applyBorder="1" applyAlignment="1">
      <alignment horizontal="center" vertical="center"/>
    </xf>
    <xf numFmtId="9" fontId="5" fillId="7" borderId="29" xfId="1" applyFont="1" applyFill="1" applyBorder="1" applyAlignment="1">
      <alignment horizontal="center" vertical="center"/>
    </xf>
    <xf numFmtId="0" fontId="18" fillId="0" borderId="13" xfId="0" applyFont="1" applyFill="1" applyBorder="1" applyAlignment="1">
      <alignment horizontal="left" vertical="center" wrapText="1"/>
    </xf>
    <xf numFmtId="0" fontId="18" fillId="0" borderId="1" xfId="0" applyFont="1" applyFill="1" applyBorder="1" applyAlignment="1">
      <alignment horizontal="left" vertical="center"/>
    </xf>
    <xf numFmtId="9" fontId="3" fillId="2" borderId="1" xfId="0" applyNumberFormat="1" applyFont="1" applyFill="1" applyBorder="1" applyAlignment="1" applyProtection="1">
      <alignment horizontal="center" vertical="center"/>
      <protection locked="0"/>
    </xf>
    <xf numFmtId="1" fontId="3" fillId="2" borderId="29" xfId="0" applyNumberFormat="1" applyFont="1" applyFill="1" applyBorder="1" applyAlignment="1" applyProtection="1">
      <alignment horizontal="center" vertical="center"/>
      <protection locked="0"/>
    </xf>
    <xf numFmtId="9" fontId="3" fillId="2" borderId="29" xfId="0" applyNumberFormat="1" applyFont="1" applyFill="1" applyBorder="1" applyAlignment="1" applyProtection="1">
      <alignment horizontal="center" vertical="center"/>
      <protection locked="0"/>
    </xf>
    <xf numFmtId="1" fontId="3" fillId="0" borderId="36" xfId="0" applyNumberFormat="1" applyFont="1" applyBorder="1" applyAlignment="1">
      <alignment horizontal="center" vertical="center"/>
    </xf>
    <xf numFmtId="1" fontId="3" fillId="0" borderId="40" xfId="0" applyNumberFormat="1" applyFont="1" applyBorder="1" applyAlignment="1">
      <alignment horizontal="center" vertical="center"/>
    </xf>
    <xf numFmtId="1" fontId="3" fillId="0" borderId="54" xfId="0" applyNumberFormat="1" applyFont="1" applyBorder="1" applyAlignment="1">
      <alignment horizontal="center" vertical="center"/>
    </xf>
    <xf numFmtId="1" fontId="3" fillId="0" borderId="35" xfId="0" applyNumberFormat="1" applyFont="1" applyBorder="1" applyAlignment="1">
      <alignment horizontal="center" vertical="center"/>
    </xf>
    <xf numFmtId="9" fontId="3" fillId="0" borderId="36" xfId="0" applyNumberFormat="1" applyFont="1" applyBorder="1" applyAlignment="1">
      <alignment horizontal="center" vertical="center"/>
    </xf>
    <xf numFmtId="0" fontId="11" fillId="6" borderId="24" xfId="0" applyFont="1" applyFill="1" applyBorder="1" applyAlignment="1">
      <alignment horizontal="center" vertical="center"/>
    </xf>
    <xf numFmtId="0" fontId="11" fillId="6" borderId="25" xfId="0" applyFont="1" applyFill="1" applyBorder="1" applyAlignment="1">
      <alignment horizontal="center" vertical="center"/>
    </xf>
    <xf numFmtId="0" fontId="11" fillId="6" borderId="26" xfId="0" applyFont="1" applyFill="1" applyBorder="1" applyAlignment="1">
      <alignment horizontal="center" vertical="center"/>
    </xf>
    <xf numFmtId="0" fontId="18" fillId="0" borderId="1" xfId="0" applyFont="1" applyBorder="1" applyAlignment="1">
      <alignment horizontal="center" vertical="center" wrapText="1"/>
    </xf>
    <xf numFmtId="1" fontId="3" fillId="2" borderId="1" xfId="0" applyNumberFormat="1" applyFont="1" applyFill="1" applyBorder="1" applyAlignment="1" applyProtection="1">
      <alignment horizontal="center" vertical="center"/>
      <protection locked="0"/>
    </xf>
    <xf numFmtId="0" fontId="16" fillId="0" borderId="48" xfId="0" applyFont="1" applyFill="1" applyBorder="1" applyAlignment="1">
      <alignment horizontal="center" vertical="top" wrapText="1"/>
    </xf>
    <xf numFmtId="0" fontId="16" fillId="0" borderId="36" xfId="0" applyFont="1" applyFill="1" applyBorder="1" applyAlignment="1">
      <alignment horizontal="center" vertical="top" wrapText="1"/>
    </xf>
    <xf numFmtId="1" fontId="18" fillId="0" borderId="36" xfId="0" applyNumberFormat="1" applyFont="1" applyFill="1" applyBorder="1" applyAlignment="1">
      <alignment horizontal="center" vertical="center"/>
    </xf>
    <xf numFmtId="9" fontId="18" fillId="0" borderId="36" xfId="1" applyFont="1" applyBorder="1" applyAlignment="1">
      <alignment horizontal="center" vertical="center"/>
    </xf>
    <xf numFmtId="0" fontId="5" fillId="9" borderId="44" xfId="0" applyFont="1" applyFill="1" applyBorder="1" applyAlignment="1">
      <alignment horizontal="center"/>
    </xf>
    <xf numFmtId="0" fontId="5" fillId="9" borderId="45" xfId="0" applyFont="1" applyFill="1" applyBorder="1" applyAlignment="1">
      <alignment horizontal="center"/>
    </xf>
    <xf numFmtId="0" fontId="5" fillId="9" borderId="49" xfId="0" applyFont="1" applyFill="1" applyBorder="1" applyAlignment="1">
      <alignment horizontal="center"/>
    </xf>
    <xf numFmtId="1" fontId="0" fillId="2" borderId="11" xfId="0" applyNumberFormat="1" applyFill="1" applyBorder="1" applyAlignment="1" applyProtection="1">
      <alignment horizontal="center"/>
      <protection locked="0"/>
    </xf>
    <xf numFmtId="1" fontId="0" fillId="2" borderId="12" xfId="0" applyNumberFormat="1" applyFill="1" applyBorder="1" applyAlignment="1" applyProtection="1">
      <alignment horizontal="center"/>
      <protection locked="0"/>
    </xf>
    <xf numFmtId="1" fontId="0" fillId="2" borderId="7" xfId="0" applyNumberFormat="1" applyFill="1" applyBorder="1" applyAlignment="1" applyProtection="1">
      <alignment horizontal="center"/>
      <protection locked="0"/>
    </xf>
    <xf numFmtId="1" fontId="0" fillId="7" borderId="11" xfId="0" applyNumberFormat="1" applyFill="1" applyBorder="1" applyAlignment="1">
      <alignment horizontal="center"/>
    </xf>
    <xf numFmtId="1" fontId="0" fillId="7" borderId="12" xfId="0" applyNumberFormat="1" applyFill="1" applyBorder="1" applyAlignment="1">
      <alignment horizontal="center"/>
    </xf>
    <xf numFmtId="1" fontId="0" fillId="7" borderId="7" xfId="0" applyNumberFormat="1" applyFill="1" applyBorder="1" applyAlignment="1">
      <alignment horizontal="center"/>
    </xf>
    <xf numFmtId="0" fontId="5" fillId="9" borderId="53" xfId="0" applyFont="1" applyFill="1" applyBorder="1" applyAlignment="1">
      <alignment horizontal="center"/>
    </xf>
    <xf numFmtId="0" fontId="5" fillId="9" borderId="25" xfId="0" applyFont="1" applyFill="1" applyBorder="1" applyAlignment="1">
      <alignment horizontal="center"/>
    </xf>
    <xf numFmtId="0" fontId="5" fillId="9" borderId="26" xfId="0" applyFont="1" applyFill="1" applyBorder="1" applyAlignment="1">
      <alignment horizontal="center"/>
    </xf>
    <xf numFmtId="0" fontId="9" fillId="5" borderId="53" xfId="0" applyFont="1" applyFill="1" applyBorder="1" applyAlignment="1">
      <alignment horizontal="center" vertical="center"/>
    </xf>
    <xf numFmtId="0" fontId="9" fillId="5" borderId="25" xfId="0" applyFont="1" applyFill="1" applyBorder="1" applyAlignment="1">
      <alignment horizontal="center" vertical="center"/>
    </xf>
    <xf numFmtId="0" fontId="5" fillId="6" borderId="53" xfId="0" applyFont="1" applyFill="1" applyBorder="1" applyAlignment="1">
      <alignment horizontal="center" vertical="center"/>
    </xf>
    <xf numFmtId="0" fontId="5" fillId="6" borderId="25" xfId="0" applyFont="1" applyFill="1" applyBorder="1" applyAlignment="1">
      <alignment horizontal="center" vertical="center"/>
    </xf>
    <xf numFmtId="0" fontId="5" fillId="6" borderId="26" xfId="0" applyFont="1" applyFill="1" applyBorder="1" applyAlignment="1">
      <alignment horizontal="center" vertical="center"/>
    </xf>
    <xf numFmtId="0" fontId="12" fillId="0" borderId="39"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14" xfId="0" applyFont="1" applyBorder="1" applyAlignment="1">
      <alignment horizontal="center" vertical="center"/>
    </xf>
    <xf numFmtId="0" fontId="12" fillId="2" borderId="31" xfId="0" applyFont="1" applyFill="1" applyBorder="1" applyAlignment="1" applyProtection="1">
      <alignment horizontal="center" vertical="center" wrapText="1"/>
      <protection locked="0"/>
    </xf>
    <xf numFmtId="0" fontId="0" fillId="2" borderId="27" xfId="0" applyFill="1" applyBorder="1" applyAlignment="1" applyProtection="1">
      <alignment horizontal="center" vertical="center" wrapText="1"/>
      <protection locked="0"/>
    </xf>
    <xf numFmtId="0" fontId="0" fillId="2" borderId="28" xfId="0" applyFill="1" applyBorder="1" applyAlignment="1" applyProtection="1">
      <alignment horizontal="center" vertical="center" wrapText="1"/>
      <protection locked="0"/>
    </xf>
    <xf numFmtId="0" fontId="0" fillId="2" borderId="23" xfId="0" applyFill="1" applyBorder="1" applyAlignment="1" applyProtection="1">
      <alignment horizontal="center" vertical="center" wrapText="1"/>
      <protection locked="0"/>
    </xf>
    <xf numFmtId="0" fontId="0" fillId="2" borderId="0" xfId="0" applyFill="1" applyBorder="1" applyAlignment="1" applyProtection="1">
      <alignment horizontal="center" vertical="center" wrapText="1"/>
      <protection locked="0"/>
    </xf>
    <xf numFmtId="0" fontId="0" fillId="2" borderId="30" xfId="0" applyFill="1" applyBorder="1" applyAlignment="1" applyProtection="1">
      <alignment horizontal="center" vertical="center" wrapText="1"/>
      <protection locked="0"/>
    </xf>
    <xf numFmtId="0" fontId="0" fillId="2" borderId="56" xfId="0" applyFill="1" applyBorder="1" applyAlignment="1" applyProtection="1">
      <alignment horizontal="center" vertical="center" wrapText="1"/>
      <protection locked="0"/>
    </xf>
    <xf numFmtId="0" fontId="0" fillId="2" borderId="41" xfId="0" applyFill="1" applyBorder="1" applyAlignment="1" applyProtection="1">
      <alignment horizontal="center" vertical="center" wrapText="1"/>
      <protection locked="0"/>
    </xf>
    <xf numFmtId="0" fontId="0" fillId="2" borderId="42" xfId="0" applyFill="1" applyBorder="1" applyAlignment="1" applyProtection="1">
      <alignment horizontal="center" vertical="center" wrapText="1"/>
      <protection locked="0"/>
    </xf>
    <xf numFmtId="0" fontId="0" fillId="0" borderId="9" xfId="0" applyBorder="1" applyAlignment="1">
      <alignment horizontal="center" vertical="center" wrapText="1"/>
    </xf>
    <xf numFmtId="0" fontId="12" fillId="0" borderId="9" xfId="0" applyFont="1" applyBorder="1" applyAlignment="1">
      <alignment horizontal="center" vertical="center" wrapText="1"/>
    </xf>
    <xf numFmtId="0" fontId="0" fillId="0" borderId="10" xfId="0" applyBorder="1" applyAlignment="1">
      <alignment horizontal="center" vertical="center" wrapText="1"/>
    </xf>
    <xf numFmtId="1" fontId="0" fillId="2" borderId="33" xfId="0" applyNumberFormat="1" applyFill="1" applyBorder="1" applyAlignment="1" applyProtection="1">
      <alignment horizontal="center"/>
      <protection locked="0"/>
    </xf>
    <xf numFmtId="1" fontId="0" fillId="2" borderId="32" xfId="0" applyNumberFormat="1" applyFill="1" applyBorder="1" applyAlignment="1" applyProtection="1">
      <alignment horizontal="center"/>
      <protection locked="0"/>
    </xf>
    <xf numFmtId="1" fontId="0" fillId="2" borderId="28" xfId="0" applyNumberFormat="1" applyFill="1" applyBorder="1" applyAlignment="1" applyProtection="1">
      <alignment horizontal="center"/>
      <protection locked="0"/>
    </xf>
    <xf numFmtId="0" fontId="7" fillId="0" borderId="34" xfId="0" applyFont="1" applyBorder="1" applyAlignment="1">
      <alignment horizontal="right"/>
    </xf>
    <xf numFmtId="0" fontId="7" fillId="0" borderId="54" xfId="0" applyFont="1" applyBorder="1" applyAlignment="1">
      <alignment horizontal="right"/>
    </xf>
    <xf numFmtId="0" fontId="7" fillId="0" borderId="35" xfId="0" applyFont="1" applyBorder="1" applyAlignment="1">
      <alignment horizontal="right"/>
    </xf>
    <xf numFmtId="1" fontId="7" fillId="0" borderId="40" xfId="0" applyNumberFormat="1" applyFont="1" applyBorder="1" applyAlignment="1">
      <alignment horizontal="center"/>
    </xf>
    <xf numFmtId="1" fontId="7" fillId="0" borderId="35" xfId="0" applyNumberFormat="1" applyFont="1" applyBorder="1" applyAlignment="1">
      <alignment horizontal="center"/>
    </xf>
    <xf numFmtId="1" fontId="7" fillId="0" borderId="55" xfId="0" applyNumberFormat="1" applyFont="1" applyBorder="1" applyAlignment="1">
      <alignment horizontal="center"/>
    </xf>
    <xf numFmtId="9" fontId="0" fillId="0" borderId="1" xfId="1" applyFont="1" applyFill="1" applyBorder="1" applyAlignment="1">
      <alignment horizontal="center"/>
    </xf>
    <xf numFmtId="1" fontId="0" fillId="2" borderId="1" xfId="0" applyNumberFormat="1" applyFont="1" applyFill="1" applyBorder="1" applyAlignment="1" applyProtection="1">
      <alignment horizontal="center"/>
      <protection locked="0"/>
    </xf>
    <xf numFmtId="1" fontId="0" fillId="2" borderId="1" xfId="0" applyNumberFormat="1" applyFont="1" applyFill="1" applyBorder="1" applyAlignment="1" applyProtection="1">
      <alignment horizontal="center" vertical="center"/>
      <protection locked="0"/>
    </xf>
    <xf numFmtId="1" fontId="0" fillId="2" borderId="11" xfId="0" applyNumberFormat="1" applyFont="1" applyFill="1" applyBorder="1" applyAlignment="1" applyProtection="1">
      <alignment horizontal="center" vertical="center"/>
      <protection locked="0"/>
    </xf>
    <xf numFmtId="0" fontId="9" fillId="5" borderId="44" xfId="0" applyFont="1" applyFill="1" applyBorder="1" applyAlignment="1">
      <alignment horizontal="center" vertical="center"/>
    </xf>
    <xf numFmtId="0" fontId="9" fillId="5" borderId="45" xfId="0" applyFont="1" applyFill="1" applyBorder="1" applyAlignment="1">
      <alignment horizontal="center" vertical="center"/>
    </xf>
    <xf numFmtId="0" fontId="5" fillId="6" borderId="44" xfId="0" applyFont="1" applyFill="1" applyBorder="1" applyAlignment="1">
      <alignment horizontal="center" vertical="center"/>
    </xf>
    <xf numFmtId="0" fontId="5" fillId="6" borderId="45" xfId="0" applyFont="1" applyFill="1" applyBorder="1" applyAlignment="1">
      <alignment horizontal="center" vertical="center"/>
    </xf>
    <xf numFmtId="0" fontId="5" fillId="6" borderId="46" xfId="0" applyFont="1" applyFill="1" applyBorder="1" applyAlignment="1">
      <alignment horizontal="center" vertical="center"/>
    </xf>
    <xf numFmtId="0" fontId="12"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0" fillId="2" borderId="14" xfId="0" applyFill="1" applyBorder="1" applyAlignment="1">
      <alignment horizontal="center" vertical="center" wrapText="1"/>
    </xf>
    <xf numFmtId="0" fontId="0" fillId="2" borderId="32" xfId="0" applyFill="1" applyBorder="1" applyAlignment="1">
      <alignment horizontal="center" vertical="center" wrapText="1"/>
    </xf>
    <xf numFmtId="0" fontId="0" fillId="2" borderId="29" xfId="0" applyFill="1" applyBorder="1" applyAlignment="1">
      <alignment horizontal="center" vertical="center" wrapText="1"/>
    </xf>
    <xf numFmtId="0" fontId="0" fillId="2" borderId="47" xfId="0" applyFill="1" applyBorder="1" applyAlignment="1">
      <alignment horizontal="center" vertical="center" wrapText="1"/>
    </xf>
    <xf numFmtId="0" fontId="0" fillId="2" borderId="51" xfId="0" applyFill="1" applyBorder="1" applyAlignment="1">
      <alignment horizontal="center" vertical="center" wrapText="1"/>
    </xf>
    <xf numFmtId="0" fontId="0" fillId="2" borderId="16" xfId="0" applyFill="1" applyBorder="1" applyAlignment="1">
      <alignment horizontal="center" vertical="center" wrapText="1"/>
    </xf>
    <xf numFmtId="0" fontId="0" fillId="2" borderId="22" xfId="0" applyFill="1" applyBorder="1" applyAlignment="1">
      <alignment horizontal="center" vertical="center" wrapText="1"/>
    </xf>
    <xf numFmtId="9" fontId="12" fillId="0" borderId="1" xfId="1" applyFont="1" applyFill="1" applyBorder="1" applyAlignment="1">
      <alignment horizontal="center" vertical="center" wrapText="1"/>
    </xf>
    <xf numFmtId="0" fontId="0" fillId="2" borderId="33" xfId="0" applyFill="1" applyBorder="1" applyAlignment="1">
      <alignment horizontal="center" vertical="center" wrapText="1"/>
    </xf>
    <xf numFmtId="0" fontId="0" fillId="2" borderId="27" xfId="0" applyFill="1" applyBorder="1" applyAlignment="1">
      <alignment horizontal="center" vertical="center" wrapText="1"/>
    </xf>
    <xf numFmtId="0" fontId="0" fillId="2" borderId="28" xfId="0" applyFill="1" applyBorder="1" applyAlignment="1">
      <alignment horizontal="center" vertical="center" wrapText="1"/>
    </xf>
    <xf numFmtId="0" fontId="0" fillId="2" borderId="43" xfId="0" applyFill="1" applyBorder="1" applyAlignment="1">
      <alignment horizontal="center" vertical="center" wrapText="1"/>
    </xf>
    <xf numFmtId="0" fontId="0" fillId="2" borderId="0" xfId="0" applyFill="1" applyBorder="1" applyAlignment="1">
      <alignment horizontal="center" vertical="center" wrapText="1"/>
    </xf>
    <xf numFmtId="0" fontId="0" fillId="2" borderId="30" xfId="0" applyFill="1" applyBorder="1" applyAlignment="1">
      <alignment horizontal="center" vertical="center" wrapText="1"/>
    </xf>
    <xf numFmtId="0" fontId="0" fillId="2" borderId="41" xfId="0" applyFill="1" applyBorder="1" applyAlignment="1">
      <alignment horizontal="center" vertical="center" wrapText="1"/>
    </xf>
    <xf numFmtId="0" fontId="0" fillId="2" borderId="42" xfId="0" applyFill="1" applyBorder="1" applyAlignment="1">
      <alignment horizontal="center" vertical="center" wrapText="1"/>
    </xf>
    <xf numFmtId="0" fontId="0" fillId="0" borderId="1" xfId="0" applyFont="1" applyBorder="1" applyAlignment="1">
      <alignment horizontal="center" vertical="center" wrapText="1"/>
    </xf>
    <xf numFmtId="0" fontId="0" fillId="0" borderId="11" xfId="0" applyFont="1" applyBorder="1" applyAlignment="1">
      <alignment horizontal="center" vertical="center" wrapText="1"/>
    </xf>
    <xf numFmtId="1" fontId="27" fillId="2" borderId="1" xfId="0" applyNumberFormat="1" applyFont="1" applyFill="1" applyBorder="1" applyAlignment="1" applyProtection="1">
      <alignment horizontal="center" vertical="center" wrapText="1"/>
      <protection locked="0"/>
    </xf>
    <xf numFmtId="1" fontId="27" fillId="2" borderId="11" xfId="0" applyNumberFormat="1" applyFont="1" applyFill="1" applyBorder="1" applyAlignment="1" applyProtection="1">
      <alignment horizontal="center" vertical="center" wrapText="1"/>
      <protection locked="0"/>
    </xf>
    <xf numFmtId="9" fontId="12" fillId="0" borderId="11" xfId="1" applyFont="1" applyFill="1" applyBorder="1" applyAlignment="1">
      <alignment horizontal="center" vertical="center"/>
    </xf>
    <xf numFmtId="9" fontId="12" fillId="0" borderId="12" xfId="1" applyFont="1" applyFill="1" applyBorder="1" applyAlignment="1">
      <alignment horizontal="center" vertical="center"/>
    </xf>
    <xf numFmtId="0" fontId="7" fillId="0" borderId="48" xfId="0" applyFont="1" applyBorder="1" applyAlignment="1">
      <alignment horizontal="right"/>
    </xf>
    <xf numFmtId="0" fontId="7" fillId="0" borderId="36" xfId="0" applyFont="1" applyBorder="1" applyAlignment="1">
      <alignment horizontal="right"/>
    </xf>
    <xf numFmtId="0" fontId="3" fillId="0" borderId="36" xfId="0" applyFont="1" applyBorder="1" applyAlignment="1">
      <alignment horizontal="center" vertical="center"/>
    </xf>
    <xf numFmtId="1" fontId="4" fillId="0" borderId="36" xfId="0" applyNumberFormat="1" applyFont="1" applyBorder="1" applyAlignment="1">
      <alignment horizontal="center" vertical="center" wrapText="1"/>
    </xf>
    <xf numFmtId="9" fontId="4" fillId="0" borderId="36" xfId="1" applyFont="1" applyFill="1" applyBorder="1" applyAlignment="1">
      <alignment horizontal="center"/>
    </xf>
    <xf numFmtId="1" fontId="0" fillId="7" borderId="29" xfId="0" applyNumberFormat="1" applyFont="1" applyFill="1" applyBorder="1" applyAlignment="1">
      <alignment horizontal="center"/>
    </xf>
    <xf numFmtId="1" fontId="0" fillId="7" borderId="33" xfId="0" applyNumberFormat="1" applyFont="1" applyFill="1" applyBorder="1" applyAlignment="1">
      <alignment horizontal="center"/>
    </xf>
    <xf numFmtId="9" fontId="0" fillId="7" borderId="29" xfId="1" applyFont="1" applyFill="1" applyBorder="1" applyAlignment="1">
      <alignment horizontal="center"/>
    </xf>
    <xf numFmtId="1" fontId="0" fillId="0" borderId="1" xfId="0" applyNumberFormat="1" applyBorder="1" applyAlignment="1">
      <alignment horizontal="center" vertical="center"/>
    </xf>
    <xf numFmtId="1" fontId="0" fillId="0" borderId="29" xfId="0" applyNumberFormat="1" applyBorder="1" applyAlignment="1">
      <alignment horizontal="center" vertical="center"/>
    </xf>
    <xf numFmtId="1" fontId="0" fillId="2" borderId="29" xfId="0" applyNumberFormat="1" applyFont="1" applyFill="1" applyBorder="1" applyAlignment="1">
      <alignment horizontal="center"/>
    </xf>
    <xf numFmtId="1" fontId="0" fillId="2" borderId="33" xfId="0" applyNumberFormat="1" applyFont="1" applyFill="1" applyBorder="1" applyAlignment="1">
      <alignment horizontal="center"/>
    </xf>
    <xf numFmtId="9" fontId="0" fillId="0" borderId="11" xfId="1" applyFont="1" applyFill="1" applyBorder="1" applyAlignment="1">
      <alignment horizontal="center"/>
    </xf>
    <xf numFmtId="9" fontId="0" fillId="0" borderId="12" xfId="1" applyFont="1" applyFill="1" applyBorder="1" applyAlignment="1">
      <alignment horizontal="center"/>
    </xf>
    <xf numFmtId="9" fontId="0" fillId="0" borderId="33" xfId="1" applyFont="1" applyFill="1" applyBorder="1" applyAlignment="1">
      <alignment horizontal="center"/>
    </xf>
    <xf numFmtId="9" fontId="0" fillId="0" borderId="32" xfId="1" applyFont="1" applyFill="1" applyBorder="1" applyAlignment="1">
      <alignment horizontal="center"/>
    </xf>
    <xf numFmtId="0" fontId="19" fillId="0" borderId="13" xfId="0" applyFont="1" applyBorder="1" applyAlignment="1">
      <alignment horizontal="left" vertical="center" wrapText="1"/>
    </xf>
    <xf numFmtId="0" fontId="19" fillId="0" borderId="1" xfId="0" applyFont="1" applyBorder="1" applyAlignment="1">
      <alignment horizontal="left" vertical="center" wrapText="1"/>
    </xf>
    <xf numFmtId="1" fontId="19" fillId="2" borderId="1" xfId="0" applyNumberFormat="1" applyFont="1" applyFill="1" applyBorder="1" applyAlignment="1" applyProtection="1">
      <alignment horizontal="center" vertical="center" wrapText="1"/>
      <protection locked="0"/>
    </xf>
    <xf numFmtId="1" fontId="19" fillId="2" borderId="14" xfId="0" applyNumberFormat="1" applyFont="1" applyFill="1" applyBorder="1" applyAlignment="1" applyProtection="1">
      <alignment horizontal="center" vertical="center" wrapText="1"/>
      <protection locked="0"/>
    </xf>
    <xf numFmtId="0" fontId="19" fillId="0" borderId="15" xfId="0" applyFont="1" applyBorder="1" applyAlignment="1">
      <alignment horizontal="left" vertical="center" wrapText="1"/>
    </xf>
    <xf numFmtId="0" fontId="19" fillId="0" borderId="16" xfId="0" applyFont="1" applyBorder="1" applyAlignment="1">
      <alignment horizontal="left" vertical="center" wrapText="1"/>
    </xf>
    <xf numFmtId="1" fontId="19" fillId="2" borderId="16" xfId="0" applyNumberFormat="1" applyFont="1" applyFill="1" applyBorder="1" applyAlignment="1" applyProtection="1">
      <alignment horizontal="center" vertical="center" wrapText="1"/>
      <protection locked="0"/>
    </xf>
    <xf numFmtId="1" fontId="19" fillId="2" borderId="22" xfId="0" applyNumberFormat="1" applyFont="1" applyFill="1" applyBorder="1" applyAlignment="1" applyProtection="1">
      <alignment horizontal="center" vertical="center" wrapText="1"/>
      <protection locked="0"/>
    </xf>
    <xf numFmtId="0" fontId="5" fillId="9" borderId="23" xfId="0" applyFont="1" applyFill="1" applyBorder="1" applyAlignment="1">
      <alignment horizontal="center"/>
    </xf>
    <xf numFmtId="0" fontId="5" fillId="9" borderId="0" xfId="0" applyFont="1" applyFill="1" applyBorder="1" applyAlignment="1">
      <alignment horizontal="center"/>
    </xf>
    <xf numFmtId="0" fontId="10" fillId="5" borderId="19" xfId="0" applyFont="1" applyFill="1" applyBorder="1" applyAlignment="1">
      <alignment horizontal="left" vertical="center"/>
    </xf>
    <xf numFmtId="0" fontId="10" fillId="5" borderId="20" xfId="0" applyFont="1" applyFill="1" applyBorder="1" applyAlignment="1">
      <alignment horizontal="left" vertical="center"/>
    </xf>
    <xf numFmtId="0" fontId="10" fillId="5" borderId="20" xfId="0" applyFont="1" applyFill="1" applyBorder="1" applyAlignment="1">
      <alignment horizontal="center" vertical="center" wrapText="1"/>
    </xf>
    <xf numFmtId="0" fontId="10" fillId="5" borderId="21" xfId="0" applyFont="1" applyFill="1" applyBorder="1" applyAlignment="1">
      <alignment horizontal="center" vertical="center" wrapText="1"/>
    </xf>
    <xf numFmtId="1" fontId="27" fillId="2" borderId="29" xfId="0" applyNumberFormat="1" applyFont="1" applyFill="1" applyBorder="1" applyAlignment="1" applyProtection="1">
      <alignment horizontal="center" vertical="center" wrapText="1"/>
      <protection locked="0"/>
    </xf>
    <xf numFmtId="1" fontId="27" fillId="2" borderId="33" xfId="0" applyNumberFormat="1" applyFont="1" applyFill="1" applyBorder="1" applyAlignment="1" applyProtection="1">
      <alignment horizontal="center" vertical="center" wrapText="1"/>
      <protection locked="0"/>
    </xf>
    <xf numFmtId="9" fontId="12" fillId="0" borderId="33" xfId="1" applyFont="1" applyFill="1" applyBorder="1" applyAlignment="1">
      <alignment horizontal="center" vertical="center"/>
    </xf>
    <xf numFmtId="9" fontId="12" fillId="0" borderId="32" xfId="1" applyFont="1" applyFill="1" applyBorder="1" applyAlignment="1">
      <alignment horizontal="center" vertical="center"/>
    </xf>
    <xf numFmtId="0" fontId="4" fillId="0" borderId="34" xfId="0" applyFont="1" applyBorder="1" applyAlignment="1">
      <alignment horizontal="right"/>
    </xf>
    <xf numFmtId="0" fontId="4" fillId="0" borderId="54" xfId="0" applyFont="1" applyBorder="1" applyAlignment="1">
      <alignment horizontal="right"/>
    </xf>
    <xf numFmtId="0" fontId="4" fillId="0" borderId="35" xfId="0" applyFont="1" applyBorder="1" applyAlignment="1">
      <alignment horizontal="right"/>
    </xf>
    <xf numFmtId="1" fontId="14" fillId="0" borderId="40" xfId="0" applyNumberFormat="1" applyFont="1" applyBorder="1" applyAlignment="1">
      <alignment horizontal="center" vertical="center"/>
    </xf>
    <xf numFmtId="1" fontId="14" fillId="0" borderId="54" xfId="0" applyNumberFormat="1" applyFont="1" applyBorder="1" applyAlignment="1">
      <alignment horizontal="center" vertical="center"/>
    </xf>
    <xf numFmtId="9" fontId="11" fillId="0" borderId="40" xfId="1" applyFont="1" applyFill="1" applyBorder="1" applyAlignment="1">
      <alignment horizontal="center" vertical="center"/>
    </xf>
    <xf numFmtId="9" fontId="11" fillId="0" borderId="35" xfId="1" applyFont="1" applyFill="1" applyBorder="1" applyAlignment="1">
      <alignment horizontal="center" vertical="center"/>
    </xf>
    <xf numFmtId="0" fontId="19" fillId="0" borderId="13" xfId="0" applyFont="1" applyBorder="1" applyAlignment="1">
      <alignment vertical="center" wrapText="1"/>
    </xf>
    <xf numFmtId="0" fontId="19" fillId="0" borderId="1" xfId="0" applyFont="1" applyBorder="1" applyAlignment="1">
      <alignment vertical="center" wrapText="1"/>
    </xf>
    <xf numFmtId="0" fontId="19" fillId="0" borderId="1" xfId="0" applyFont="1" applyFill="1" applyBorder="1" applyAlignment="1">
      <alignment horizontal="center" vertical="center" wrapText="1"/>
    </xf>
    <xf numFmtId="9" fontId="0" fillId="0" borderId="11" xfId="1" applyFont="1" applyBorder="1" applyAlignment="1">
      <alignment horizontal="center" vertical="center"/>
    </xf>
    <xf numFmtId="9" fontId="0" fillId="0" borderId="12" xfId="1" applyFont="1" applyBorder="1" applyAlignment="1">
      <alignment horizontal="center" vertical="center"/>
    </xf>
    <xf numFmtId="0" fontId="10" fillId="5" borderId="13" xfId="0" applyFont="1" applyFill="1" applyBorder="1" applyAlignment="1">
      <alignment vertical="center" wrapText="1"/>
    </xf>
    <xf numFmtId="0" fontId="10" fillId="5" borderId="1" xfId="0" applyFont="1" applyFill="1" applyBorder="1" applyAlignment="1">
      <alignment vertical="center" wrapText="1"/>
    </xf>
    <xf numFmtId="0" fontId="10" fillId="5" borderId="1" xfId="0" applyFont="1" applyFill="1" applyBorder="1" applyAlignment="1">
      <alignment horizontal="center" vertical="center" wrapText="1"/>
    </xf>
    <xf numFmtId="9" fontId="2" fillId="5" borderId="11" xfId="1" applyFont="1" applyFill="1" applyBorder="1" applyAlignment="1">
      <alignment horizontal="center" vertical="center"/>
    </xf>
    <xf numFmtId="9" fontId="2" fillId="5" borderId="12" xfId="1" applyFont="1" applyFill="1" applyBorder="1" applyAlignment="1">
      <alignment horizontal="center" vertical="center"/>
    </xf>
    <xf numFmtId="0" fontId="19" fillId="8" borderId="1" xfId="0" applyFont="1" applyFill="1" applyBorder="1" applyAlignment="1">
      <alignment horizontal="center" vertical="center" wrapText="1"/>
    </xf>
    <xf numFmtId="0" fontId="0" fillId="2" borderId="33" xfId="0" applyFill="1" applyBorder="1" applyAlignment="1">
      <alignment horizontal="center"/>
    </xf>
    <xf numFmtId="0" fontId="0" fillId="2" borderId="27" xfId="0" applyFill="1" applyBorder="1" applyAlignment="1">
      <alignment horizontal="center"/>
    </xf>
    <xf numFmtId="0" fontId="0" fillId="2" borderId="28" xfId="0" applyFill="1" applyBorder="1" applyAlignment="1">
      <alignment horizontal="center"/>
    </xf>
    <xf numFmtId="0" fontId="0" fillId="2" borderId="43" xfId="0" applyFill="1" applyBorder="1" applyAlignment="1">
      <alignment horizontal="center"/>
    </xf>
    <xf numFmtId="0" fontId="0" fillId="2" borderId="0" xfId="0" applyFill="1" applyBorder="1" applyAlignment="1">
      <alignment horizontal="center"/>
    </xf>
    <xf numFmtId="0" fontId="0" fillId="2" borderId="30" xfId="0" applyFill="1" applyBorder="1" applyAlignment="1">
      <alignment horizontal="center"/>
    </xf>
    <xf numFmtId="0" fontId="0" fillId="2" borderId="57" xfId="0" applyFill="1" applyBorder="1" applyAlignment="1">
      <alignment horizontal="center"/>
    </xf>
    <xf numFmtId="0" fontId="0" fillId="2" borderId="58" xfId="0" applyFill="1" applyBorder="1" applyAlignment="1">
      <alignment horizontal="center"/>
    </xf>
    <xf numFmtId="0" fontId="10" fillId="5" borderId="13" xfId="0" applyFont="1" applyFill="1" applyBorder="1" applyAlignment="1">
      <alignment horizontal="left" vertical="center" wrapText="1"/>
    </xf>
    <xf numFmtId="0" fontId="10" fillId="5" borderId="1" xfId="0" applyFont="1" applyFill="1" applyBorder="1" applyAlignment="1">
      <alignment horizontal="left" vertical="center" wrapText="1"/>
    </xf>
    <xf numFmtId="0" fontId="19" fillId="5" borderId="1" xfId="0" applyFont="1" applyFill="1" applyBorder="1" applyAlignment="1">
      <alignment horizontal="center" vertical="center" wrapText="1"/>
    </xf>
    <xf numFmtId="0" fontId="0" fillId="5" borderId="11" xfId="0" applyFill="1" applyBorder="1" applyAlignment="1">
      <alignment horizontal="center"/>
    </xf>
    <xf numFmtId="0" fontId="0" fillId="5" borderId="12" xfId="0" applyFill="1" applyBorder="1" applyAlignment="1">
      <alignment horizontal="center"/>
    </xf>
    <xf numFmtId="0" fontId="19" fillId="0" borderId="19" xfId="0" applyFont="1" applyBorder="1" applyAlignment="1">
      <alignment horizontal="center" vertical="center" wrapText="1"/>
    </xf>
    <xf numFmtId="0" fontId="19" fillId="0" borderId="20" xfId="0" applyFont="1" applyBorder="1" applyAlignment="1">
      <alignment horizontal="center" vertical="center" wrapText="1"/>
    </xf>
    <xf numFmtId="0" fontId="19" fillId="0" borderId="13" xfId="0" applyFont="1" applyBorder="1" applyAlignment="1">
      <alignment horizontal="center" vertical="center" wrapText="1"/>
    </xf>
    <xf numFmtId="0" fontId="0" fillId="0" borderId="20" xfId="0" applyBorder="1" applyAlignment="1">
      <alignment horizontal="center" wrapText="1"/>
    </xf>
    <xf numFmtId="0" fontId="0" fillId="0" borderId="1" xfId="0" applyBorder="1" applyAlignment="1">
      <alignment horizontal="center" wrapText="1"/>
    </xf>
    <xf numFmtId="0" fontId="19" fillId="0" borderId="20" xfId="0" applyFont="1" applyBorder="1" applyAlignment="1">
      <alignment horizontal="center" wrapText="1"/>
    </xf>
    <xf numFmtId="0" fontId="19" fillId="0" borderId="1" xfId="0" applyFont="1" applyBorder="1" applyAlignment="1">
      <alignment horizontal="center" wrapText="1"/>
    </xf>
    <xf numFmtId="0" fontId="19" fillId="2" borderId="11" xfId="0" applyFont="1" applyFill="1" applyBorder="1" applyAlignment="1" applyProtection="1">
      <alignment horizontal="center" vertical="center" wrapText="1"/>
      <protection locked="0"/>
    </xf>
    <xf numFmtId="0" fontId="19" fillId="2" borderId="12" xfId="0" applyFont="1" applyFill="1" applyBorder="1" applyAlignment="1" applyProtection="1">
      <alignment horizontal="center" vertical="center" wrapText="1"/>
      <protection locked="0"/>
    </xf>
    <xf numFmtId="0" fontId="19" fillId="0" borderId="13" xfId="0" applyFont="1" applyBorder="1" applyAlignment="1">
      <alignment horizontal="left" vertical="center" wrapText="1" indent="5"/>
    </xf>
    <xf numFmtId="0" fontId="19" fillId="0" borderId="1" xfId="0" applyFont="1" applyBorder="1" applyAlignment="1">
      <alignment horizontal="left" vertical="center" wrapText="1" indent="5"/>
    </xf>
    <xf numFmtId="0" fontId="19" fillId="2" borderId="1" xfId="0" applyFont="1" applyFill="1" applyBorder="1" applyAlignment="1" applyProtection="1">
      <alignment horizontal="center" vertical="center" wrapText="1"/>
      <protection locked="0"/>
    </xf>
    <xf numFmtId="0" fontId="10" fillId="0" borderId="5"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0" fillId="0" borderId="12" xfId="0" applyFont="1" applyFill="1" applyBorder="1" applyAlignment="1">
      <alignment horizontal="center" vertical="center" wrapText="1"/>
    </xf>
    <xf numFmtId="0" fontId="10" fillId="5" borderId="5" xfId="0" applyFont="1" applyFill="1" applyBorder="1" applyAlignment="1">
      <alignment horizontal="left" vertical="center" wrapText="1"/>
    </xf>
    <xf numFmtId="0" fontId="10" fillId="5" borderId="12" xfId="0" applyFont="1" applyFill="1" applyBorder="1" applyAlignment="1">
      <alignment horizontal="left" vertical="center" wrapText="1"/>
    </xf>
    <xf numFmtId="0" fontId="19" fillId="5" borderId="11" xfId="0" applyFont="1" applyFill="1" applyBorder="1" applyAlignment="1">
      <alignment horizontal="center" vertical="center" wrapText="1"/>
    </xf>
    <xf numFmtId="0" fontId="19" fillId="5" borderId="12" xfId="0" applyFont="1" applyFill="1" applyBorder="1" applyAlignment="1">
      <alignment horizontal="center" vertical="center" wrapText="1"/>
    </xf>
    <xf numFmtId="1" fontId="19" fillId="5" borderId="1" xfId="0" applyNumberFormat="1" applyFont="1" applyFill="1" applyBorder="1" applyAlignment="1">
      <alignment horizontal="center" vertical="center" wrapText="1"/>
    </xf>
    <xf numFmtId="1" fontId="19" fillId="8" borderId="1" xfId="0" applyNumberFormat="1" applyFont="1" applyFill="1" applyBorder="1" applyAlignment="1">
      <alignment horizontal="center" vertical="center" wrapText="1"/>
    </xf>
    <xf numFmtId="0" fontId="19" fillId="0" borderId="31" xfId="0" applyFont="1" applyBorder="1" applyAlignment="1">
      <alignment horizontal="left" vertical="center" wrapText="1"/>
    </xf>
    <xf numFmtId="0" fontId="19" fillId="0" borderId="32" xfId="0" applyFont="1" applyBorder="1" applyAlignment="1">
      <alignment horizontal="left" vertical="center" wrapText="1"/>
    </xf>
    <xf numFmtId="1" fontId="19" fillId="2" borderId="33" xfId="0" applyNumberFormat="1" applyFont="1" applyFill="1" applyBorder="1" applyAlignment="1" applyProtection="1">
      <alignment horizontal="center" vertical="center" wrapText="1"/>
      <protection locked="0"/>
    </xf>
    <xf numFmtId="1" fontId="19" fillId="2" borderId="32" xfId="0" applyNumberFormat="1" applyFont="1" applyFill="1" applyBorder="1" applyAlignment="1" applyProtection="1">
      <alignment horizontal="center" vertical="center" wrapText="1"/>
      <protection locked="0"/>
    </xf>
    <xf numFmtId="9" fontId="0" fillId="0" borderId="33" xfId="1" applyFont="1" applyFill="1" applyBorder="1" applyAlignment="1">
      <alignment horizontal="center" vertical="center"/>
    </xf>
    <xf numFmtId="9" fontId="0" fillId="0" borderId="32" xfId="1" applyFont="1" applyFill="1" applyBorder="1" applyAlignment="1">
      <alignment horizontal="center" vertical="center"/>
    </xf>
    <xf numFmtId="0" fontId="5" fillId="9" borderId="2" xfId="0" applyFont="1" applyFill="1" applyBorder="1" applyAlignment="1">
      <alignment horizontal="center" vertical="center"/>
    </xf>
    <xf numFmtId="0" fontId="5" fillId="9" borderId="3" xfId="0" applyFont="1" applyFill="1" applyBorder="1" applyAlignment="1">
      <alignment horizontal="center" vertical="center"/>
    </xf>
    <xf numFmtId="0" fontId="5" fillId="9" borderId="66" xfId="0" applyFont="1" applyFill="1" applyBorder="1" applyAlignment="1">
      <alignment horizontal="center" vertical="center"/>
    </xf>
    <xf numFmtId="0" fontId="0" fillId="0" borderId="1" xfId="0" applyFill="1" applyBorder="1" applyAlignment="1">
      <alignment horizontal="center" vertical="center" wrapText="1"/>
    </xf>
    <xf numFmtId="0" fontId="3" fillId="5" borderId="5" xfId="0" applyFont="1" applyFill="1" applyBorder="1" applyAlignment="1">
      <alignment horizontal="left"/>
    </xf>
    <xf numFmtId="0" fontId="3" fillId="5" borderId="6" xfId="0" applyFont="1" applyFill="1" applyBorder="1" applyAlignment="1">
      <alignment horizontal="left"/>
    </xf>
    <xf numFmtId="0" fontId="3" fillId="5" borderId="12" xfId="0" applyFont="1" applyFill="1" applyBorder="1" applyAlignment="1">
      <alignment horizontal="left"/>
    </xf>
    <xf numFmtId="0" fontId="10" fillId="0" borderId="48" xfId="0" applyFont="1" applyBorder="1" applyAlignment="1">
      <alignment horizontal="right" vertical="center" wrapText="1"/>
    </xf>
    <xf numFmtId="0" fontId="10" fillId="0" borderId="36" xfId="0" applyFont="1" applyBorder="1" applyAlignment="1">
      <alignment horizontal="right" vertical="center" wrapText="1"/>
    </xf>
    <xf numFmtId="1" fontId="10" fillId="0" borderId="36" xfId="0" applyNumberFormat="1" applyFont="1" applyBorder="1" applyAlignment="1">
      <alignment horizontal="center" vertical="center" wrapText="1"/>
    </xf>
    <xf numFmtId="9" fontId="2" fillId="0" borderId="40" xfId="1" applyFont="1" applyBorder="1" applyAlignment="1">
      <alignment horizontal="center"/>
    </xf>
    <xf numFmtId="9" fontId="2" fillId="0" borderId="35" xfId="1" applyFont="1" applyBorder="1" applyAlignment="1">
      <alignment horizontal="center"/>
    </xf>
    <xf numFmtId="1" fontId="11" fillId="11" borderId="1" xfId="0" applyNumberFormat="1" applyFont="1" applyFill="1" applyBorder="1" applyAlignment="1" applyProtection="1">
      <alignment horizontal="center" vertical="center"/>
      <protection locked="0"/>
    </xf>
    <xf numFmtId="0" fontId="13" fillId="0" borderId="29" xfId="0" applyFont="1" applyFill="1" applyBorder="1" applyAlignment="1">
      <alignment horizontal="center" vertical="center" wrapText="1"/>
    </xf>
    <xf numFmtId="0" fontId="13" fillId="0" borderId="50" xfId="0" applyFont="1" applyFill="1" applyBorder="1" applyAlignment="1">
      <alignment horizontal="center" vertical="center" wrapText="1"/>
    </xf>
    <xf numFmtId="0" fontId="13" fillId="0" borderId="9" xfId="0" applyFont="1" applyFill="1" applyBorder="1" applyAlignment="1">
      <alignment horizontal="center" vertical="center" wrapText="1"/>
    </xf>
    <xf numFmtId="1" fontId="11" fillId="2" borderId="1" xfId="0" applyNumberFormat="1" applyFont="1" applyFill="1" applyBorder="1" applyAlignment="1" applyProtection="1">
      <alignment horizontal="center" vertical="center"/>
      <protection locked="0"/>
    </xf>
    <xf numFmtId="1" fontId="13" fillId="0" borderId="29" xfId="0" applyNumberFormat="1" applyFont="1" applyBorder="1" applyAlignment="1">
      <alignment horizontal="center" vertical="center"/>
    </xf>
    <xf numFmtId="1" fontId="13" fillId="0" borderId="50" xfId="0" applyNumberFormat="1" applyFont="1" applyBorder="1" applyAlignment="1">
      <alignment horizontal="center" vertical="center"/>
    </xf>
    <xf numFmtId="1" fontId="13" fillId="0" borderId="9" xfId="0" applyNumberFormat="1" applyFont="1" applyBorder="1" applyAlignment="1">
      <alignment horizontal="center" vertical="center"/>
    </xf>
    <xf numFmtId="1" fontId="11" fillId="2" borderId="29" xfId="0" applyNumberFormat="1" applyFont="1" applyFill="1" applyBorder="1" applyAlignment="1" applyProtection="1">
      <alignment horizontal="center" vertical="center"/>
      <protection locked="0"/>
    </xf>
    <xf numFmtId="9" fontId="0" fillId="0" borderId="33" xfId="1" applyFont="1" applyBorder="1" applyAlignment="1">
      <alignment horizontal="center" vertical="center"/>
    </xf>
    <xf numFmtId="9" fontId="0" fillId="0" borderId="32" xfId="1" applyFont="1" applyBorder="1" applyAlignment="1">
      <alignment horizontal="center" vertical="center"/>
    </xf>
    <xf numFmtId="1" fontId="11" fillId="0" borderId="40" xfId="0" applyNumberFormat="1" applyFont="1" applyFill="1" applyBorder="1" applyAlignment="1">
      <alignment horizontal="center" vertical="center"/>
    </xf>
    <xf numFmtId="1" fontId="11" fillId="0" borderId="35" xfId="0" applyNumberFormat="1" applyFont="1" applyFill="1" applyBorder="1" applyAlignment="1">
      <alignment horizontal="center" vertical="center"/>
    </xf>
    <xf numFmtId="1" fontId="11" fillId="0" borderId="54" xfId="0" applyNumberFormat="1" applyFont="1" applyFill="1" applyBorder="1" applyAlignment="1">
      <alignment horizontal="center" vertical="center"/>
    </xf>
    <xf numFmtId="9" fontId="2" fillId="0" borderId="40" xfId="1" applyFont="1" applyBorder="1" applyAlignment="1">
      <alignment horizontal="center" vertical="center"/>
    </xf>
    <xf numFmtId="9" fontId="2" fillId="0" borderId="35" xfId="1" applyFont="1" applyBorder="1" applyAlignment="1">
      <alignment horizontal="center" vertical="center"/>
    </xf>
    <xf numFmtId="1" fontId="2" fillId="0" borderId="67" xfId="0" applyNumberFormat="1" applyFont="1" applyFill="1" applyBorder="1" applyAlignment="1">
      <alignment horizontal="center" vertical="center" wrapText="1"/>
    </xf>
    <xf numFmtId="9" fontId="2" fillId="0" borderId="36" xfId="1" applyFont="1" applyFill="1" applyBorder="1" applyAlignment="1">
      <alignment horizontal="center" vertical="center" wrapText="1"/>
    </xf>
    <xf numFmtId="0" fontId="5" fillId="9" borderId="44" xfId="0" applyFont="1" applyFill="1" applyBorder="1" applyAlignment="1">
      <alignment horizontal="left" vertical="center"/>
    </xf>
    <xf numFmtId="0" fontId="5" fillId="9" borderId="45" xfId="0" applyFont="1" applyFill="1" applyBorder="1" applyAlignment="1">
      <alignment horizontal="left" vertical="center"/>
    </xf>
    <xf numFmtId="0" fontId="5" fillId="9" borderId="49" xfId="0" applyFont="1" applyFill="1" applyBorder="1" applyAlignment="1">
      <alignment horizontal="left" vertical="center"/>
    </xf>
    <xf numFmtId="1" fontId="2" fillId="2" borderId="1" xfId="0" applyNumberFormat="1" applyFont="1" applyFill="1" applyBorder="1" applyAlignment="1" applyProtection="1">
      <alignment horizontal="center" vertical="center" wrapText="1"/>
      <protection locked="0"/>
    </xf>
    <xf numFmtId="9" fontId="2" fillId="0" borderId="1" xfId="1" applyFont="1" applyFill="1" applyBorder="1" applyAlignment="1">
      <alignment horizontal="center" vertical="center" wrapText="1"/>
    </xf>
    <xf numFmtId="9" fontId="2" fillId="0" borderId="29" xfId="1" applyFont="1" applyFill="1" applyBorder="1" applyAlignment="1">
      <alignment horizontal="center" vertical="center" wrapText="1"/>
    </xf>
    <xf numFmtId="1" fontId="11" fillId="2" borderId="1" xfId="0" applyNumberFormat="1" applyFont="1" applyFill="1" applyBorder="1" applyAlignment="1" applyProtection="1">
      <alignment horizontal="center"/>
      <protection locked="0"/>
    </xf>
    <xf numFmtId="9" fontId="11" fillId="0" borderId="1" xfId="1" applyFont="1" applyBorder="1" applyAlignment="1">
      <alignment horizontal="center" vertical="center"/>
    </xf>
    <xf numFmtId="1" fontId="13" fillId="0" borderId="1" xfId="0" applyNumberFormat="1" applyFont="1" applyBorder="1" applyAlignment="1">
      <alignment horizontal="center" vertical="center"/>
    </xf>
    <xf numFmtId="1" fontId="11" fillId="2" borderId="29" xfId="0" applyNumberFormat="1" applyFont="1" applyFill="1" applyBorder="1" applyAlignment="1" applyProtection="1">
      <alignment horizontal="center"/>
      <protection locked="0"/>
    </xf>
    <xf numFmtId="9" fontId="11" fillId="0" borderId="29" xfId="1" applyFont="1" applyBorder="1" applyAlignment="1">
      <alignment horizontal="center" vertical="center"/>
    </xf>
    <xf numFmtId="0" fontId="5" fillId="6" borderId="54" xfId="0" applyFont="1" applyFill="1" applyBorder="1" applyAlignment="1">
      <alignment horizontal="center" vertical="center"/>
    </xf>
    <xf numFmtId="0" fontId="5" fillId="6" borderId="55" xfId="0" applyFont="1" applyFill="1" applyBorder="1" applyAlignment="1">
      <alignment horizontal="center" vertical="center"/>
    </xf>
    <xf numFmtId="0" fontId="12" fillId="2" borderId="45" xfId="0" applyFont="1" applyFill="1" applyBorder="1" applyAlignment="1">
      <alignment horizontal="center" vertical="center" wrapText="1"/>
    </xf>
    <xf numFmtId="0" fontId="12" fillId="2" borderId="46" xfId="0" applyFont="1" applyFill="1" applyBorder="1" applyAlignment="1">
      <alignment horizontal="center" vertical="center" wrapText="1"/>
    </xf>
    <xf numFmtId="0" fontId="4" fillId="5" borderId="5" xfId="0" applyFont="1" applyFill="1" applyBorder="1" applyAlignment="1">
      <alignment horizontal="left"/>
    </xf>
    <xf numFmtId="0" fontId="4" fillId="5" borderId="6" xfId="0" applyFont="1" applyFill="1" applyBorder="1" applyAlignment="1">
      <alignment horizontal="left"/>
    </xf>
    <xf numFmtId="0" fontId="4" fillId="5" borderId="12" xfId="0" applyFont="1" applyFill="1" applyBorder="1" applyAlignment="1">
      <alignment horizontal="left"/>
    </xf>
    <xf numFmtId="0" fontId="0" fillId="0" borderId="8" xfId="0" applyBorder="1" applyAlignment="1">
      <alignment horizontal="left"/>
    </xf>
    <xf numFmtId="0" fontId="12" fillId="2" borderId="9" xfId="0" applyFont="1" applyFill="1" applyBorder="1" applyAlignment="1" applyProtection="1">
      <alignment horizontal="center"/>
      <protection locked="0"/>
    </xf>
    <xf numFmtId="0" fontId="0" fillId="2" borderId="38" xfId="0" applyFill="1" applyBorder="1" applyAlignment="1" applyProtection="1">
      <alignment horizontal="center"/>
      <protection locked="0"/>
    </xf>
    <xf numFmtId="9" fontId="0" fillId="0" borderId="1" xfId="1" applyFont="1" applyFill="1" applyBorder="1" applyAlignment="1">
      <alignment horizontal="center" vertical="center"/>
    </xf>
    <xf numFmtId="9" fontId="0" fillId="0" borderId="29" xfId="1" applyFont="1" applyFill="1" applyBorder="1" applyAlignment="1">
      <alignment horizontal="center" vertical="center"/>
    </xf>
    <xf numFmtId="1" fontId="2" fillId="0" borderId="1" xfId="0" applyNumberFormat="1" applyFont="1" applyBorder="1" applyAlignment="1">
      <alignment horizontal="center" vertical="center"/>
    </xf>
    <xf numFmtId="1" fontId="2" fillId="0" borderId="29" xfId="0" applyNumberFormat="1" applyFont="1" applyBorder="1" applyAlignment="1">
      <alignment horizontal="center" vertical="center"/>
    </xf>
    <xf numFmtId="0" fontId="0" fillId="0" borderId="63" xfId="0" applyBorder="1" applyAlignment="1">
      <alignment horizontal="left"/>
    </xf>
    <xf numFmtId="0" fontId="0" fillId="0" borderId="69" xfId="0" applyBorder="1" applyAlignment="1">
      <alignment horizontal="left"/>
    </xf>
    <xf numFmtId="0" fontId="0" fillId="0" borderId="51" xfId="0" applyBorder="1" applyAlignment="1">
      <alignment horizontal="left"/>
    </xf>
    <xf numFmtId="0" fontId="0" fillId="2" borderId="45" xfId="0" applyFill="1" applyBorder="1" applyAlignment="1" applyProtection="1">
      <alignment horizontal="center" vertical="center" wrapText="1"/>
      <protection locked="0"/>
    </xf>
    <xf numFmtId="0" fontId="12" fillId="2" borderId="17" xfId="0" applyFont="1" applyFill="1" applyBorder="1" applyAlignment="1" applyProtection="1">
      <alignment horizontal="center"/>
      <protection locked="0"/>
    </xf>
    <xf numFmtId="0" fontId="12" fillId="2" borderId="51" xfId="0" applyFont="1" applyFill="1" applyBorder="1" applyAlignment="1" applyProtection="1">
      <alignment horizontal="center"/>
      <protection locked="0"/>
    </xf>
    <xf numFmtId="1" fontId="13" fillId="0" borderId="36" xfId="0" applyNumberFormat="1" applyFont="1" applyBorder="1" applyAlignment="1">
      <alignment horizontal="center" vertical="center"/>
    </xf>
    <xf numFmtId="1" fontId="11" fillId="0" borderId="36" xfId="0" applyNumberFormat="1" applyFont="1" applyFill="1" applyBorder="1" applyAlignment="1">
      <alignment horizontal="center"/>
    </xf>
    <xf numFmtId="9" fontId="11" fillId="0" borderId="36" xfId="1" applyFont="1" applyBorder="1" applyAlignment="1">
      <alignment horizontal="center" vertical="center"/>
    </xf>
    <xf numFmtId="0" fontId="5" fillId="9" borderId="53" xfId="0" applyFont="1" applyFill="1" applyBorder="1" applyAlignment="1">
      <alignment horizontal="left"/>
    </xf>
    <xf numFmtId="0" fontId="5" fillId="9" borderId="25" xfId="0" applyFont="1" applyFill="1" applyBorder="1" applyAlignment="1">
      <alignment horizontal="left"/>
    </xf>
    <xf numFmtId="0" fontId="5" fillId="9" borderId="65" xfId="0" applyFont="1" applyFill="1" applyBorder="1" applyAlignment="1">
      <alignment horizontal="left"/>
    </xf>
    <xf numFmtId="0" fontId="0" fillId="11" borderId="1" xfId="0" applyFill="1" applyBorder="1" applyAlignment="1" applyProtection="1">
      <alignment horizontal="center" vertical="center"/>
      <protection locked="0"/>
    </xf>
    <xf numFmtId="1" fontId="13" fillId="11" borderId="1" xfId="0" applyNumberFormat="1" applyFont="1" applyFill="1" applyBorder="1" applyAlignment="1">
      <alignment horizontal="center" vertical="center" wrapText="1"/>
    </xf>
    <xf numFmtId="0" fontId="11" fillId="11" borderId="1" xfId="0" applyFont="1" applyFill="1" applyBorder="1" applyAlignment="1">
      <alignment horizontal="center" vertical="center" wrapText="1"/>
    </xf>
    <xf numFmtId="1" fontId="12" fillId="11" borderId="1" xfId="0" applyNumberFormat="1" applyFont="1" applyFill="1" applyBorder="1" applyAlignment="1">
      <alignment horizontal="center" vertical="center"/>
    </xf>
    <xf numFmtId="1" fontId="12" fillId="0" borderId="1" xfId="0" applyNumberFormat="1" applyFont="1" applyFill="1" applyBorder="1" applyAlignment="1">
      <alignment horizontal="center" vertical="center"/>
    </xf>
    <xf numFmtId="0" fontId="2" fillId="5" borderId="5" xfId="0" applyFont="1" applyFill="1" applyBorder="1" applyAlignment="1">
      <alignment horizontal="left" vertical="top" wrapText="1"/>
    </xf>
    <xf numFmtId="0" fontId="2" fillId="5" borderId="6" xfId="0" applyFont="1" applyFill="1" applyBorder="1" applyAlignment="1">
      <alignment horizontal="left" vertical="top" wrapText="1"/>
    </xf>
    <xf numFmtId="0" fontId="2" fillId="5" borderId="12" xfId="0" applyFont="1" applyFill="1" applyBorder="1" applyAlignment="1">
      <alignment horizontal="left" vertical="top" wrapText="1"/>
    </xf>
    <xf numFmtId="1" fontId="30" fillId="0" borderId="36" xfId="0" applyNumberFormat="1" applyFont="1" applyBorder="1" applyAlignment="1">
      <alignment horizontal="center"/>
    </xf>
    <xf numFmtId="1" fontId="30" fillId="0" borderId="37" xfId="0" applyNumberFormat="1" applyFont="1" applyBorder="1" applyAlignment="1">
      <alignment horizontal="center"/>
    </xf>
    <xf numFmtId="0" fontId="12" fillId="0" borderId="1" xfId="0" applyFont="1" applyBorder="1" applyAlignment="1">
      <alignment horizontal="center"/>
    </xf>
    <xf numFmtId="0" fontId="0" fillId="0" borderId="1" xfId="0" applyBorder="1" applyAlignment="1">
      <alignment horizontal="center" vertical="top" wrapText="1"/>
    </xf>
    <xf numFmtId="0" fontId="13" fillId="0" borderId="1" xfId="0" applyFont="1" applyFill="1" applyBorder="1" applyAlignment="1">
      <alignment horizontal="center" vertical="top" wrapText="1"/>
    </xf>
    <xf numFmtId="0" fontId="0" fillId="0" borderId="11" xfId="0" applyBorder="1" applyAlignment="1">
      <alignment horizontal="center" vertical="top" wrapText="1"/>
    </xf>
    <xf numFmtId="0" fontId="4" fillId="0" borderId="48" xfId="0" applyFont="1" applyBorder="1" applyAlignment="1">
      <alignment horizontal="right"/>
    </xf>
    <xf numFmtId="0" fontId="4" fillId="0" borderId="36" xfId="0" applyFont="1" applyBorder="1" applyAlignment="1">
      <alignment horizontal="right"/>
    </xf>
    <xf numFmtId="9" fontId="30" fillId="0" borderId="36" xfId="1" applyFont="1" applyBorder="1" applyAlignment="1">
      <alignment horizontal="center"/>
    </xf>
    <xf numFmtId="0" fontId="0" fillId="2" borderId="1" xfId="0" applyFill="1" applyBorder="1" applyAlignment="1" applyProtection="1">
      <alignment horizontal="center"/>
      <protection locked="0"/>
    </xf>
    <xf numFmtId="1" fontId="13" fillId="0" borderId="1" xfId="0" applyNumberFormat="1" applyFont="1" applyFill="1" applyBorder="1" applyAlignment="1">
      <alignment horizontal="center" vertical="center" wrapText="1"/>
    </xf>
    <xf numFmtId="0" fontId="11" fillId="2" borderId="1" xfId="0" applyFont="1" applyFill="1" applyBorder="1" applyAlignment="1" applyProtection="1">
      <alignment horizontal="center" vertical="center" wrapText="1"/>
      <protection locked="0"/>
    </xf>
    <xf numFmtId="0" fontId="27" fillId="2" borderId="29" xfId="0" applyFont="1" applyFill="1" applyBorder="1" applyAlignment="1" applyProtection="1">
      <alignment horizontal="center"/>
      <protection locked="0"/>
    </xf>
    <xf numFmtId="1" fontId="13" fillId="0" borderId="29" xfId="0" applyNumberFormat="1" applyFont="1" applyFill="1" applyBorder="1" applyAlignment="1">
      <alignment horizontal="center" vertical="center" wrapText="1"/>
    </xf>
    <xf numFmtId="0" fontId="11" fillId="2" borderId="29" xfId="0" applyFont="1" applyFill="1" applyBorder="1" applyAlignment="1" applyProtection="1">
      <alignment horizontal="center" vertical="center" wrapText="1"/>
      <protection locked="0"/>
    </xf>
    <xf numFmtId="1" fontId="12" fillId="0" borderId="29" xfId="0" applyNumberFormat="1" applyFont="1" applyFill="1" applyBorder="1" applyAlignment="1">
      <alignment horizontal="center" vertical="center"/>
    </xf>
    <xf numFmtId="0" fontId="10" fillId="5" borderId="6" xfId="0" applyFont="1" applyFill="1" applyBorder="1" applyAlignment="1">
      <alignment horizontal="left" vertical="center" wrapText="1"/>
    </xf>
    <xf numFmtId="0" fontId="5" fillId="6" borderId="2" xfId="0" applyFont="1" applyFill="1" applyBorder="1" applyAlignment="1">
      <alignment horizontal="center" vertical="center"/>
    </xf>
    <xf numFmtId="0" fontId="13" fillId="0" borderId="11" xfId="0" applyFont="1" applyFill="1" applyBorder="1" applyAlignment="1">
      <alignment horizontal="center" vertical="top" wrapText="1"/>
    </xf>
    <xf numFmtId="0" fontId="13" fillId="0" borderId="6" xfId="0" applyFont="1" applyFill="1" applyBorder="1" applyAlignment="1">
      <alignment horizontal="center" vertical="top" wrapText="1"/>
    </xf>
    <xf numFmtId="0" fontId="13" fillId="0" borderId="12" xfId="0" applyFont="1" applyFill="1" applyBorder="1" applyAlignment="1">
      <alignment horizontal="center" vertical="top" wrapText="1"/>
    </xf>
    <xf numFmtId="0" fontId="4" fillId="5" borderId="5" xfId="0" applyFont="1" applyFill="1" applyBorder="1" applyAlignment="1">
      <alignment horizontal="left" vertical="center"/>
    </xf>
    <xf numFmtId="0" fontId="4" fillId="5" borderId="6" xfId="0" applyFont="1" applyFill="1" applyBorder="1" applyAlignment="1">
      <alignment horizontal="left" vertical="center"/>
    </xf>
    <xf numFmtId="0" fontId="4" fillId="5" borderId="12" xfId="0" applyFont="1" applyFill="1" applyBorder="1" applyAlignment="1">
      <alignment horizontal="left" vertical="center"/>
    </xf>
    <xf numFmtId="0" fontId="15" fillId="0" borderId="48" xfId="0" applyFont="1" applyBorder="1" applyAlignment="1">
      <alignment horizontal="right"/>
    </xf>
    <xf numFmtId="0" fontId="15" fillId="0" borderId="36" xfId="0" applyFont="1" applyBorder="1" applyAlignment="1">
      <alignment horizontal="right"/>
    </xf>
    <xf numFmtId="1" fontId="2" fillId="0" borderId="36" xfId="0" applyNumberFormat="1" applyFont="1" applyBorder="1" applyAlignment="1">
      <alignment horizontal="center"/>
    </xf>
    <xf numFmtId="0" fontId="2" fillId="0" borderId="36" xfId="0" applyFont="1" applyBorder="1" applyAlignment="1">
      <alignment horizontal="center"/>
    </xf>
    <xf numFmtId="1" fontId="11" fillId="0" borderId="36" xfId="0" applyNumberFormat="1" applyFont="1" applyFill="1" applyBorder="1" applyAlignment="1">
      <alignment horizontal="center" vertical="center" wrapText="1"/>
    </xf>
    <xf numFmtId="1" fontId="12" fillId="8" borderId="36" xfId="0" applyNumberFormat="1" applyFont="1" applyFill="1" applyBorder="1" applyAlignment="1">
      <alignment horizontal="center" vertical="center"/>
    </xf>
    <xf numFmtId="1" fontId="12" fillId="0" borderId="36" xfId="0" applyNumberFormat="1" applyFont="1" applyFill="1" applyBorder="1" applyAlignment="1">
      <alignment horizontal="center" vertical="center"/>
    </xf>
    <xf numFmtId="1" fontId="12" fillId="0" borderId="37" xfId="0" applyNumberFormat="1" applyFont="1" applyFill="1" applyBorder="1" applyAlignment="1">
      <alignment horizontal="center" vertical="center"/>
    </xf>
    <xf numFmtId="0" fontId="5" fillId="9" borderId="46" xfId="0" applyFont="1" applyFill="1" applyBorder="1" applyAlignment="1">
      <alignment horizontal="center"/>
    </xf>
    <xf numFmtId="1" fontId="0" fillId="11" borderId="1" xfId="0" applyNumberFormat="1" applyFill="1" applyBorder="1" applyAlignment="1" applyProtection="1">
      <alignment horizontal="center" vertical="center"/>
      <protection locked="0"/>
    </xf>
    <xf numFmtId="1" fontId="13" fillId="0" borderId="11" xfId="0" applyNumberFormat="1" applyFont="1" applyFill="1" applyBorder="1" applyAlignment="1">
      <alignment horizontal="center" vertical="center" wrapText="1"/>
    </xf>
    <xf numFmtId="1" fontId="13" fillId="0" borderId="6" xfId="0" applyNumberFormat="1" applyFont="1" applyFill="1" applyBorder="1" applyAlignment="1">
      <alignment horizontal="center" vertical="center" wrapText="1"/>
    </xf>
    <xf numFmtId="1" fontId="13" fillId="0" borderId="12" xfId="0" applyNumberFormat="1" applyFont="1" applyFill="1" applyBorder="1" applyAlignment="1">
      <alignment horizontal="center" vertical="center" wrapText="1"/>
    </xf>
    <xf numFmtId="1" fontId="11" fillId="11" borderId="1" xfId="0" applyNumberFormat="1" applyFont="1" applyFill="1" applyBorder="1" applyAlignment="1" applyProtection="1">
      <alignment horizontal="center" vertical="center" wrapText="1"/>
      <protection locked="0"/>
    </xf>
    <xf numFmtId="1" fontId="12" fillId="11" borderId="1" xfId="0" applyNumberFormat="1" applyFont="1" applyFill="1" applyBorder="1" applyAlignment="1" applyProtection="1">
      <alignment horizontal="center" vertical="center"/>
      <protection locked="0"/>
    </xf>
    <xf numFmtId="1" fontId="12" fillId="0" borderId="1" xfId="0" applyNumberFormat="1" applyFont="1" applyFill="1" applyBorder="1" applyAlignment="1" applyProtection="1">
      <alignment horizontal="center" vertical="center"/>
      <protection locked="0"/>
    </xf>
    <xf numFmtId="1" fontId="13" fillId="8" borderId="11" xfId="0" applyNumberFormat="1" applyFont="1" applyFill="1" applyBorder="1" applyAlignment="1">
      <alignment horizontal="center" vertical="center" wrapText="1"/>
    </xf>
    <xf numFmtId="1" fontId="13" fillId="8" borderId="6" xfId="0" applyNumberFormat="1" applyFont="1" applyFill="1" applyBorder="1" applyAlignment="1">
      <alignment horizontal="center" vertical="center" wrapText="1"/>
    </xf>
    <xf numFmtId="1" fontId="13" fillId="8" borderId="12" xfId="0" applyNumberFormat="1" applyFont="1" applyFill="1" applyBorder="1" applyAlignment="1">
      <alignment horizontal="center" vertical="center" wrapText="1"/>
    </xf>
    <xf numFmtId="0" fontId="11" fillId="8" borderId="1" xfId="0" applyFont="1" applyFill="1" applyBorder="1" applyAlignment="1">
      <alignment horizontal="center" vertical="center" wrapText="1"/>
    </xf>
    <xf numFmtId="1" fontId="12" fillId="8" borderId="1" xfId="0" applyNumberFormat="1" applyFont="1" applyFill="1" applyBorder="1" applyAlignment="1">
      <alignment horizontal="center" vertical="center"/>
    </xf>
    <xf numFmtId="0" fontId="0" fillId="2" borderId="1" xfId="0" applyFill="1" applyBorder="1" applyAlignment="1" applyProtection="1">
      <alignment horizontal="center" vertical="center"/>
      <protection locked="0"/>
    </xf>
    <xf numFmtId="1" fontId="13" fillId="8" borderId="1" xfId="0" applyNumberFormat="1" applyFont="1" applyFill="1" applyBorder="1" applyAlignment="1">
      <alignment horizontal="center" vertical="center" wrapText="1"/>
    </xf>
    <xf numFmtId="1" fontId="11" fillId="8"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xf>
    <xf numFmtId="0" fontId="2" fillId="5" borderId="1" xfId="0" applyFont="1" applyFill="1" applyBorder="1" applyAlignment="1">
      <alignment horizontal="center" vertical="center"/>
    </xf>
    <xf numFmtId="1" fontId="17" fillId="5" borderId="1" xfId="0" applyNumberFormat="1" applyFont="1" applyFill="1" applyBorder="1" applyAlignment="1">
      <alignment horizontal="center" vertical="center" wrapText="1"/>
    </xf>
    <xf numFmtId="1" fontId="10" fillId="5" borderId="1" xfId="0" applyNumberFormat="1" applyFont="1" applyFill="1" applyBorder="1" applyAlignment="1">
      <alignment horizontal="center" vertical="center" wrapText="1"/>
    </xf>
    <xf numFmtId="1" fontId="10" fillId="5" borderId="1" xfId="0" applyNumberFormat="1" applyFont="1" applyFill="1" applyBorder="1" applyAlignment="1">
      <alignment horizontal="center" vertical="center"/>
    </xf>
    <xf numFmtId="0" fontId="0" fillId="2" borderId="11" xfId="0" applyFill="1" applyBorder="1" applyAlignment="1" applyProtection="1">
      <alignment horizontal="center" vertical="center"/>
      <protection locked="0"/>
    </xf>
    <xf numFmtId="0" fontId="0" fillId="2" borderId="12" xfId="0" applyFill="1" applyBorder="1" applyAlignment="1" applyProtection="1">
      <alignment horizontal="center" vertical="center"/>
      <protection locked="0"/>
    </xf>
    <xf numFmtId="1" fontId="17"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0" fontId="5" fillId="6" borderId="19" xfId="0" applyFont="1" applyFill="1" applyBorder="1" applyAlignment="1">
      <alignment horizontal="center" vertical="center"/>
    </xf>
    <xf numFmtId="0" fontId="0" fillId="2" borderId="41" xfId="0" applyFill="1" applyBorder="1" applyAlignment="1">
      <alignment horizontal="center"/>
    </xf>
    <xf numFmtId="0" fontId="0" fillId="2" borderId="42" xfId="0" applyFill="1" applyBorder="1" applyAlignment="1">
      <alignment horizontal="center"/>
    </xf>
    <xf numFmtId="0" fontId="18" fillId="0" borderId="13" xfId="0" applyFont="1" applyBorder="1" applyAlignment="1">
      <alignment horizontal="center" vertical="center" wrapText="1"/>
    </xf>
    <xf numFmtId="0" fontId="0" fillId="2" borderId="29" xfId="0" applyFill="1" applyBorder="1" applyAlignment="1" applyProtection="1">
      <alignment horizontal="center" vertical="center"/>
      <protection locked="0"/>
    </xf>
    <xf numFmtId="1" fontId="13" fillId="8" borderId="29" xfId="0" applyNumberFormat="1" applyFont="1" applyFill="1" applyBorder="1" applyAlignment="1">
      <alignment horizontal="center" vertical="center" wrapText="1"/>
    </xf>
    <xf numFmtId="0" fontId="11" fillId="0" borderId="29" xfId="0" applyFont="1" applyFill="1" applyBorder="1" applyAlignment="1">
      <alignment horizontal="center" vertical="center" wrapText="1"/>
    </xf>
    <xf numFmtId="0" fontId="12" fillId="0" borderId="29" xfId="0" applyFont="1" applyFill="1" applyBorder="1" applyAlignment="1">
      <alignment horizontal="center" vertical="center"/>
    </xf>
    <xf numFmtId="0" fontId="16" fillId="0" borderId="34" xfId="0" applyFont="1" applyBorder="1" applyAlignment="1">
      <alignment horizontal="right" vertical="center" wrapText="1"/>
    </xf>
    <xf numFmtId="0" fontId="16" fillId="0" borderId="54" xfId="0" applyFont="1" applyBorder="1" applyAlignment="1">
      <alignment horizontal="right" vertical="center" wrapText="1"/>
    </xf>
    <xf numFmtId="0" fontId="16" fillId="0" borderId="35" xfId="0" applyFont="1" applyBorder="1" applyAlignment="1">
      <alignment horizontal="right" vertical="center" wrapText="1"/>
    </xf>
    <xf numFmtId="1" fontId="2" fillId="0" borderId="40" xfId="0" applyNumberFormat="1" applyFont="1" applyBorder="1" applyAlignment="1">
      <alignment horizontal="center" vertical="center"/>
    </xf>
    <xf numFmtId="0" fontId="2" fillId="0" borderId="54" xfId="0" applyFont="1" applyBorder="1" applyAlignment="1">
      <alignment horizontal="center" vertical="center"/>
    </xf>
    <xf numFmtId="0" fontId="2" fillId="0" borderId="35" xfId="0" applyFont="1" applyBorder="1" applyAlignment="1">
      <alignment horizontal="center" vertical="center"/>
    </xf>
    <xf numFmtId="1" fontId="2" fillId="0" borderId="35" xfId="0" applyNumberFormat="1" applyFont="1" applyBorder="1" applyAlignment="1">
      <alignment horizontal="center" vertical="center"/>
    </xf>
    <xf numFmtId="1" fontId="2" fillId="8" borderId="40" xfId="0" applyNumberFormat="1" applyFont="1" applyFill="1" applyBorder="1" applyAlignment="1">
      <alignment horizontal="center" vertical="center"/>
    </xf>
    <xf numFmtId="1" fontId="2" fillId="8" borderId="35" xfId="0" applyNumberFormat="1" applyFont="1" applyFill="1" applyBorder="1" applyAlignment="1">
      <alignment horizontal="center" vertical="center"/>
    </xf>
    <xf numFmtId="1" fontId="2" fillId="0" borderId="55" xfId="0" applyNumberFormat="1" applyFont="1" applyBorder="1" applyAlignment="1">
      <alignment horizontal="center" vertical="center"/>
    </xf>
    <xf numFmtId="0" fontId="18" fillId="2" borderId="1" xfId="0" applyFont="1" applyFill="1" applyBorder="1" applyAlignment="1" applyProtection="1">
      <alignment horizontal="center" vertical="center" wrapText="1"/>
      <protection locked="0"/>
    </xf>
    <xf numFmtId="0" fontId="18" fillId="0" borderId="5" xfId="0" applyFont="1" applyBorder="1" applyAlignment="1">
      <alignment horizontal="left" vertical="center" wrapText="1"/>
    </xf>
    <xf numFmtId="0" fontId="18" fillId="0" borderId="12" xfId="0" applyFont="1" applyBorder="1" applyAlignment="1">
      <alignment horizontal="left" vertical="center" wrapText="1"/>
    </xf>
    <xf numFmtId="0" fontId="18" fillId="0" borderId="29" xfId="0" applyFont="1" applyFill="1" applyBorder="1" applyAlignment="1">
      <alignment horizontal="left" vertical="center" wrapText="1"/>
    </xf>
    <xf numFmtId="0" fontId="18" fillId="2" borderId="29" xfId="0" applyFont="1" applyFill="1" applyBorder="1" applyAlignment="1" applyProtection="1">
      <alignment horizontal="center" vertical="center" wrapText="1"/>
      <protection locked="0"/>
    </xf>
    <xf numFmtId="1" fontId="16" fillId="0" borderId="36" xfId="0" applyNumberFormat="1" applyFont="1" applyBorder="1" applyAlignment="1">
      <alignment horizontal="center" vertical="center" wrapText="1"/>
    </xf>
    <xf numFmtId="0" fontId="18" fillId="0" borderId="31" xfId="0" applyFont="1" applyFill="1" applyBorder="1" applyAlignment="1">
      <alignment horizontal="left" vertical="center" wrapText="1"/>
    </xf>
    <xf numFmtId="0" fontId="18" fillId="0" borderId="32" xfId="0" applyFont="1" applyFill="1" applyBorder="1" applyAlignment="1">
      <alignment horizontal="left" vertical="center" wrapText="1"/>
    </xf>
    <xf numFmtId="0" fontId="17" fillId="0" borderId="33" xfId="0" applyFont="1" applyBorder="1" applyAlignment="1">
      <alignment horizontal="center" vertical="center" wrapText="1"/>
    </xf>
    <xf numFmtId="0" fontId="17" fillId="0" borderId="32" xfId="0" applyFont="1" applyBorder="1" applyAlignment="1">
      <alignment horizontal="center" vertical="center" wrapText="1"/>
    </xf>
    <xf numFmtId="0" fontId="17" fillId="0" borderId="43" xfId="0" applyFont="1" applyBorder="1" applyAlignment="1">
      <alignment horizontal="center" vertical="center" wrapText="1"/>
    </xf>
    <xf numFmtId="0" fontId="17" fillId="0" borderId="59" xfId="0" applyFont="1" applyBorder="1" applyAlignment="1">
      <alignment horizontal="center" vertical="center" wrapText="1"/>
    </xf>
    <xf numFmtId="0" fontId="17" fillId="0" borderId="38" xfId="0" applyFont="1" applyBorder="1" applyAlignment="1">
      <alignment horizontal="center" vertical="center" wrapText="1"/>
    </xf>
    <xf numFmtId="0" fontId="17" fillId="0" borderId="52" xfId="0" applyFont="1" applyBorder="1" applyAlignment="1">
      <alignment horizontal="center" vertical="center" wrapText="1"/>
    </xf>
    <xf numFmtId="1" fontId="17" fillId="0" borderId="33" xfId="0" applyNumberFormat="1" applyFont="1" applyFill="1" applyBorder="1" applyAlignment="1">
      <alignment horizontal="center" vertical="center" wrapText="1"/>
    </xf>
    <xf numFmtId="1" fontId="17" fillId="0" borderId="32" xfId="0" applyNumberFormat="1" applyFont="1" applyFill="1" applyBorder="1" applyAlignment="1">
      <alignment horizontal="center" vertical="center" wrapText="1"/>
    </xf>
    <xf numFmtId="1" fontId="17" fillId="0" borderId="43" xfId="0" applyNumberFormat="1" applyFont="1" applyFill="1" applyBorder="1" applyAlignment="1">
      <alignment horizontal="center" vertical="center" wrapText="1"/>
    </xf>
    <xf numFmtId="1" fontId="17" fillId="0" borderId="59" xfId="0" applyNumberFormat="1" applyFont="1" applyFill="1" applyBorder="1" applyAlignment="1">
      <alignment horizontal="center" vertical="center" wrapText="1"/>
    </xf>
    <xf numFmtId="0" fontId="3" fillId="0" borderId="13" xfId="0" applyFont="1" applyBorder="1" applyAlignment="1">
      <alignment horizontal="center" vertical="center" wrapText="1"/>
    </xf>
    <xf numFmtId="0" fontId="3" fillId="0" borderId="1" xfId="0" applyFont="1" applyBorder="1" applyAlignment="1">
      <alignment horizontal="center" vertical="center" wrapText="1"/>
    </xf>
    <xf numFmtId="0" fontId="7" fillId="0" borderId="1" xfId="0" applyFont="1" applyBorder="1" applyAlignment="1">
      <alignment horizontal="center" vertical="center" wrapText="1"/>
    </xf>
    <xf numFmtId="0" fontId="3" fillId="0" borderId="11" xfId="0" applyFont="1" applyBorder="1" applyAlignment="1">
      <alignment horizontal="center" vertical="center" wrapText="1"/>
    </xf>
    <xf numFmtId="0" fontId="33" fillId="0" borderId="1" xfId="0" applyFont="1" applyBorder="1" applyAlignment="1">
      <alignment horizontal="center" vertical="center"/>
    </xf>
    <xf numFmtId="1" fontId="17" fillId="0" borderId="36" xfId="0" applyNumberFormat="1" applyFont="1" applyBorder="1" applyAlignment="1">
      <alignment horizontal="center" vertical="center" wrapText="1"/>
    </xf>
    <xf numFmtId="0" fontId="5" fillId="3" borderId="44" xfId="0" applyFont="1" applyFill="1" applyBorder="1" applyAlignment="1">
      <alignment horizontal="center"/>
    </xf>
    <xf numFmtId="0" fontId="5" fillId="3" borderId="45" xfId="0" applyFont="1" applyFill="1" applyBorder="1" applyAlignment="1">
      <alignment horizontal="center"/>
    </xf>
    <xf numFmtId="0" fontId="5" fillId="3" borderId="46" xfId="0" applyFont="1" applyFill="1" applyBorder="1" applyAlignment="1">
      <alignment horizontal="center"/>
    </xf>
    <xf numFmtId="0" fontId="3" fillId="0" borderId="1" xfId="0" applyFont="1" applyBorder="1" applyAlignment="1">
      <alignment horizontal="left" vertical="center" wrapText="1"/>
    </xf>
    <xf numFmtId="1"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1" fontId="4" fillId="0" borderId="1" xfId="0" applyNumberFormat="1" applyFont="1" applyBorder="1" applyAlignment="1">
      <alignment horizontal="center" vertical="center"/>
    </xf>
    <xf numFmtId="0" fontId="30" fillId="2" borderId="1" xfId="0" applyFont="1" applyFill="1" applyBorder="1" applyAlignment="1" applyProtection="1">
      <alignment horizontal="center" wrapText="1"/>
      <protection locked="0"/>
    </xf>
    <xf numFmtId="0" fontId="30" fillId="2" borderId="14" xfId="0" applyFont="1" applyFill="1" applyBorder="1" applyAlignment="1" applyProtection="1">
      <alignment horizontal="center" wrapText="1"/>
      <protection locked="0"/>
    </xf>
    <xf numFmtId="0" fontId="9" fillId="5" borderId="1" xfId="0" applyFont="1" applyFill="1" applyBorder="1" applyAlignment="1">
      <alignment horizontal="center" vertical="center"/>
    </xf>
    <xf numFmtId="0" fontId="33" fillId="6" borderId="1" xfId="0" applyFont="1" applyFill="1" applyBorder="1" applyAlignment="1">
      <alignment horizontal="center" vertical="center"/>
    </xf>
    <xf numFmtId="0" fontId="33" fillId="6" borderId="14" xfId="0" applyFont="1" applyFill="1" applyBorder="1" applyAlignment="1">
      <alignment horizontal="center" vertical="center"/>
    </xf>
    <xf numFmtId="0" fontId="3" fillId="0" borderId="36" xfId="0" applyFont="1" applyBorder="1" applyAlignment="1">
      <alignment horizontal="left" vertical="center" wrapText="1"/>
    </xf>
    <xf numFmtId="0" fontId="3" fillId="0" borderId="36" xfId="0" applyFont="1" applyFill="1" applyBorder="1" applyAlignment="1">
      <alignment horizontal="center" vertical="center" wrapText="1"/>
    </xf>
    <xf numFmtId="1" fontId="4" fillId="0" borderId="36" xfId="0" applyNumberFormat="1" applyFont="1" applyBorder="1" applyAlignment="1">
      <alignment horizontal="center" vertical="center"/>
    </xf>
    <xf numFmtId="0" fontId="30" fillId="8" borderId="36" xfId="0" applyFont="1" applyFill="1" applyBorder="1" applyAlignment="1">
      <alignment horizontal="center" wrapText="1"/>
    </xf>
    <xf numFmtId="0" fontId="30" fillId="8" borderId="37" xfId="0" applyFont="1" applyFill="1" applyBorder="1" applyAlignment="1">
      <alignment horizontal="center" wrapText="1"/>
    </xf>
    <xf numFmtId="0" fontId="3" fillId="0" borderId="50" xfId="0" applyFont="1" applyBorder="1" applyAlignment="1">
      <alignment horizontal="left" vertical="center" wrapText="1"/>
    </xf>
    <xf numFmtId="1" fontId="3" fillId="0" borderId="50" xfId="0" applyNumberFormat="1" applyFont="1" applyFill="1" applyBorder="1" applyAlignment="1">
      <alignment horizontal="center" vertical="center" wrapText="1"/>
    </xf>
    <xf numFmtId="0" fontId="3" fillId="0" borderId="50" xfId="0" applyFont="1" applyFill="1" applyBorder="1" applyAlignment="1">
      <alignment horizontal="center" vertical="center" wrapText="1"/>
    </xf>
    <xf numFmtId="1" fontId="4" fillId="0" borderId="50" xfId="0" applyNumberFormat="1" applyFont="1" applyBorder="1" applyAlignment="1">
      <alignment horizontal="center" vertical="center"/>
    </xf>
    <xf numFmtId="0" fontId="30" fillId="2" borderId="50" xfId="0" applyFont="1" applyFill="1" applyBorder="1" applyAlignment="1" applyProtection="1">
      <alignment horizontal="center" wrapText="1"/>
      <protection locked="0"/>
    </xf>
    <xf numFmtId="0" fontId="30" fillId="2" borderId="61" xfId="0" applyFont="1" applyFill="1" applyBorder="1" applyAlignment="1" applyProtection="1">
      <alignment horizontal="center" wrapText="1"/>
      <protection locked="0"/>
    </xf>
    <xf numFmtId="0" fontId="3" fillId="0" borderId="29" xfId="0" applyFont="1" applyBorder="1" applyAlignment="1">
      <alignment horizontal="left" vertical="center" wrapText="1"/>
    </xf>
    <xf numFmtId="1" fontId="3" fillId="0" borderId="29" xfId="0" applyNumberFormat="1" applyFont="1" applyFill="1" applyBorder="1" applyAlignment="1">
      <alignment horizontal="center" vertical="center" wrapText="1"/>
    </xf>
    <xf numFmtId="0" fontId="3" fillId="0" borderId="29" xfId="0" applyFont="1" applyFill="1" applyBorder="1" applyAlignment="1">
      <alignment horizontal="center" vertical="center" wrapText="1"/>
    </xf>
    <xf numFmtId="1" fontId="4" fillId="0" borderId="29" xfId="0" applyNumberFormat="1" applyFont="1" applyBorder="1" applyAlignment="1">
      <alignment horizontal="center" vertical="center"/>
    </xf>
    <xf numFmtId="0" fontId="30" fillId="2" borderId="29" xfId="0" applyFont="1" applyFill="1" applyBorder="1" applyAlignment="1" applyProtection="1">
      <alignment horizontal="center" wrapText="1"/>
      <protection locked="0"/>
    </xf>
    <xf numFmtId="0" fontId="30" fillId="2" borderId="47" xfId="0" applyFont="1" applyFill="1" applyBorder="1" applyAlignment="1" applyProtection="1">
      <alignment horizontal="center" wrapText="1"/>
      <protection locked="0"/>
    </xf>
    <xf numFmtId="0" fontId="5" fillId="2" borderId="11" xfId="0" applyFont="1" applyFill="1" applyBorder="1" applyAlignment="1" applyProtection="1">
      <alignment horizontal="center" vertical="center"/>
      <protection locked="0"/>
    </xf>
    <xf numFmtId="0" fontId="5" fillId="2" borderId="6" xfId="0" applyFont="1" applyFill="1" applyBorder="1" applyAlignment="1" applyProtection="1">
      <alignment horizontal="center" vertical="center"/>
      <protection locked="0"/>
    </xf>
    <xf numFmtId="0" fontId="5" fillId="2" borderId="7" xfId="0" applyFont="1" applyFill="1" applyBorder="1" applyAlignment="1" applyProtection="1">
      <alignment horizontal="center" vertical="center"/>
      <protection locked="0"/>
    </xf>
    <xf numFmtId="0" fontId="4" fillId="2" borderId="11" xfId="0" applyFont="1" applyFill="1" applyBorder="1" applyAlignment="1" applyProtection="1">
      <alignment horizontal="center" vertical="center" wrapText="1"/>
      <protection locked="0"/>
    </xf>
    <xf numFmtId="0" fontId="4" fillId="2" borderId="12" xfId="0" applyFont="1" applyFill="1" applyBorder="1" applyAlignment="1" applyProtection="1">
      <alignment horizontal="center" vertical="center" wrapText="1"/>
      <protection locked="0"/>
    </xf>
    <xf numFmtId="1" fontId="4" fillId="2" borderId="11" xfId="0" applyNumberFormat="1" applyFont="1" applyFill="1" applyBorder="1" applyAlignment="1" applyProtection="1">
      <alignment horizontal="center" vertical="center" wrapText="1"/>
      <protection locked="0"/>
    </xf>
    <xf numFmtId="1" fontId="4" fillId="2" borderId="12" xfId="0" applyNumberFormat="1" applyFont="1" applyFill="1" applyBorder="1" applyAlignment="1" applyProtection="1">
      <alignment horizontal="center" vertical="center" wrapText="1"/>
      <protection locked="0"/>
    </xf>
    <xf numFmtId="0" fontId="4" fillId="0" borderId="9" xfId="0" applyFont="1" applyBorder="1" applyAlignment="1">
      <alignment horizontal="center" vertical="center" wrapText="1"/>
    </xf>
    <xf numFmtId="0" fontId="4" fillId="0" borderId="38" xfId="0" applyFont="1" applyBorder="1" applyAlignment="1">
      <alignment horizontal="center" vertical="center" wrapText="1"/>
    </xf>
    <xf numFmtId="0" fontId="33" fillId="5" borderId="5" xfId="0" applyFont="1" applyFill="1" applyBorder="1" applyAlignment="1">
      <alignment horizontal="left" vertical="center" wrapText="1"/>
    </xf>
    <xf numFmtId="0" fontId="33" fillId="5" borderId="6" xfId="0" applyFont="1" applyFill="1" applyBorder="1" applyAlignment="1">
      <alignment horizontal="left" vertical="center" wrapText="1"/>
    </xf>
    <xf numFmtId="1" fontId="3" fillId="0" borderId="36" xfId="0" applyNumberFormat="1" applyFont="1" applyFill="1" applyBorder="1" applyAlignment="1">
      <alignment horizontal="center" vertical="center" wrapText="1"/>
    </xf>
    <xf numFmtId="0" fontId="5" fillId="9" borderId="2" xfId="0" applyFont="1" applyFill="1" applyBorder="1" applyAlignment="1">
      <alignment horizontal="center" wrapText="1"/>
    </xf>
    <xf numFmtId="0" fontId="5" fillId="9" borderId="3" xfId="0" applyFont="1" applyFill="1" applyBorder="1" applyAlignment="1">
      <alignment horizontal="center" wrapText="1"/>
    </xf>
    <xf numFmtId="0" fontId="5" fillId="6" borderId="1" xfId="0" applyFont="1" applyFill="1" applyBorder="1" applyAlignment="1">
      <alignment horizontal="center" vertical="center"/>
    </xf>
    <xf numFmtId="0" fontId="5" fillId="6" borderId="14" xfId="0" applyFont="1" applyFill="1" applyBorder="1" applyAlignment="1">
      <alignment horizontal="center" vertical="center"/>
    </xf>
    <xf numFmtId="0" fontId="5" fillId="6" borderId="29" xfId="0" applyFont="1" applyFill="1" applyBorder="1" applyAlignment="1">
      <alignment horizontal="center" vertical="center"/>
    </xf>
    <xf numFmtId="0" fontId="5" fillId="6" borderId="47" xfId="0" applyFont="1" applyFill="1" applyBorder="1" applyAlignment="1">
      <alignment horizontal="center" vertical="center"/>
    </xf>
    <xf numFmtId="0" fontId="4" fillId="0" borderId="1" xfId="0" applyFont="1" applyBorder="1" applyAlignment="1">
      <alignment horizontal="center" vertical="center" wrapText="1"/>
    </xf>
    <xf numFmtId="1" fontId="0" fillId="2" borderId="1" xfId="0" applyNumberFormat="1" applyFill="1" applyBorder="1" applyAlignment="1" applyProtection="1">
      <alignment horizontal="center" vertical="center" wrapText="1"/>
      <protection locked="0"/>
    </xf>
    <xf numFmtId="0" fontId="0" fillId="2" borderId="14" xfId="0" applyFill="1" applyBorder="1" applyAlignment="1" applyProtection="1">
      <alignment horizontal="center" vertical="center"/>
      <protection locked="0"/>
    </xf>
    <xf numFmtId="0" fontId="0" fillId="2" borderId="13" xfId="0" applyFill="1" applyBorder="1" applyAlignment="1" applyProtection="1">
      <alignment horizontal="center" vertical="center" wrapText="1"/>
      <protection locked="0"/>
    </xf>
    <xf numFmtId="0" fontId="0" fillId="2" borderId="1" xfId="0" applyFill="1" applyBorder="1" applyAlignment="1" applyProtection="1">
      <alignment horizontal="left" vertical="center" wrapText="1"/>
      <protection locked="0"/>
    </xf>
    <xf numFmtId="1" fontId="0" fillId="2" borderId="1" xfId="0" applyNumberFormat="1" applyFill="1" applyBorder="1" applyAlignment="1" applyProtection="1">
      <alignment horizontal="center" vertical="center"/>
      <protection locked="0"/>
    </xf>
    <xf numFmtId="0" fontId="0" fillId="2" borderId="1" xfId="0" applyFill="1" applyBorder="1" applyAlignment="1" applyProtection="1">
      <alignment horizontal="center" vertical="center" wrapText="1"/>
      <protection locked="0"/>
    </xf>
    <xf numFmtId="0" fontId="33" fillId="5" borderId="12" xfId="0" applyFont="1" applyFill="1" applyBorder="1" applyAlignment="1">
      <alignment horizontal="left" vertical="center" wrapText="1"/>
    </xf>
    <xf numFmtId="0" fontId="5" fillId="0" borderId="11"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7" xfId="0" applyFont="1" applyFill="1" applyBorder="1" applyAlignment="1">
      <alignment horizontal="center" vertical="center"/>
    </xf>
    <xf numFmtId="0" fontId="0" fillId="2" borderId="33" xfId="0" applyFill="1" applyBorder="1" applyAlignment="1" applyProtection="1">
      <alignment horizontal="left" vertical="center" wrapText="1"/>
      <protection locked="0"/>
    </xf>
    <xf numFmtId="0" fontId="0" fillId="2" borderId="32" xfId="0" applyFill="1" applyBorder="1" applyAlignment="1" applyProtection="1">
      <alignment horizontal="left" vertical="center" wrapText="1"/>
      <protection locked="0"/>
    </xf>
    <xf numFmtId="0" fontId="0" fillId="2" borderId="43" xfId="0" applyFill="1" applyBorder="1" applyAlignment="1" applyProtection="1">
      <alignment horizontal="left" vertical="center" wrapText="1"/>
      <protection locked="0"/>
    </xf>
    <xf numFmtId="0" fontId="0" fillId="2" borderId="59" xfId="0" applyFill="1" applyBorder="1" applyAlignment="1" applyProtection="1">
      <alignment horizontal="left" vertical="center" wrapText="1"/>
      <protection locked="0"/>
    </xf>
    <xf numFmtId="0" fontId="0" fillId="2" borderId="38" xfId="0" applyFill="1" applyBorder="1" applyAlignment="1" applyProtection="1">
      <alignment horizontal="left" vertical="center" wrapText="1"/>
      <protection locked="0"/>
    </xf>
    <xf numFmtId="0" fontId="0" fillId="2" borderId="52" xfId="0" applyFill="1" applyBorder="1" applyAlignment="1" applyProtection="1">
      <alignment horizontal="left" vertical="center" wrapText="1"/>
      <protection locked="0"/>
    </xf>
    <xf numFmtId="0" fontId="15" fillId="0" borderId="31" xfId="0" applyFont="1" applyBorder="1" applyAlignment="1">
      <alignment horizontal="right" vertical="center" wrapText="1"/>
    </xf>
    <xf numFmtId="0" fontId="15" fillId="0" borderId="27" xfId="0" applyFont="1" applyBorder="1" applyAlignment="1">
      <alignment horizontal="right" vertical="center" wrapText="1"/>
    </xf>
    <xf numFmtId="0" fontId="15" fillId="0" borderId="32" xfId="0" applyFont="1" applyBorder="1" applyAlignment="1">
      <alignment horizontal="right" vertical="center" wrapText="1"/>
    </xf>
    <xf numFmtId="0" fontId="15" fillId="0" borderId="23" xfId="0" applyFont="1" applyBorder="1" applyAlignment="1">
      <alignment horizontal="right" vertical="center" wrapText="1"/>
    </xf>
    <xf numFmtId="0" fontId="15" fillId="0" borderId="0" xfId="0" applyFont="1" applyBorder="1" applyAlignment="1">
      <alignment horizontal="right" vertical="center" wrapText="1"/>
    </xf>
    <xf numFmtId="0" fontId="15" fillId="0" borderId="59" xfId="0" applyFont="1" applyBorder="1" applyAlignment="1">
      <alignment horizontal="right" vertical="center" wrapText="1"/>
    </xf>
    <xf numFmtId="0" fontId="15" fillId="0" borderId="56" xfId="0" applyFont="1" applyBorder="1" applyAlignment="1">
      <alignment horizontal="right" vertical="center" wrapText="1"/>
    </xf>
    <xf numFmtId="0" fontId="15" fillId="0" borderId="41" xfId="0" applyFont="1" applyBorder="1" applyAlignment="1">
      <alignment horizontal="right" vertical="center" wrapText="1"/>
    </xf>
    <xf numFmtId="0" fontId="15" fillId="0" borderId="62" xfId="0" applyFont="1" applyBorder="1" applyAlignment="1">
      <alignment horizontal="right" vertical="center" wrapText="1"/>
    </xf>
    <xf numFmtId="1" fontId="15" fillId="0" borderId="1" xfId="0" applyNumberFormat="1" applyFont="1" applyFill="1" applyBorder="1" applyAlignment="1">
      <alignment horizontal="center" vertical="center" wrapText="1"/>
    </xf>
    <xf numFmtId="1" fontId="15" fillId="0" borderId="16" xfId="0" applyNumberFormat="1" applyFont="1" applyFill="1" applyBorder="1" applyAlignment="1">
      <alignment horizontal="center" vertical="center" wrapText="1"/>
    </xf>
    <xf numFmtId="0" fontId="0" fillId="8" borderId="1" xfId="0" applyFill="1" applyBorder="1" applyAlignment="1">
      <alignment horizontal="center" vertical="center" wrapText="1"/>
    </xf>
    <xf numFmtId="0" fontId="0" fillId="8" borderId="16" xfId="0" applyFill="1" applyBorder="1" applyAlignment="1">
      <alignment horizontal="center" vertical="center" wrapText="1"/>
    </xf>
    <xf numFmtId="0" fontId="0" fillId="8" borderId="1" xfId="0" applyFill="1" applyBorder="1" applyAlignment="1">
      <alignment horizontal="center" vertical="center"/>
    </xf>
    <xf numFmtId="0" fontId="0" fillId="8" borderId="14" xfId="0" applyFill="1" applyBorder="1" applyAlignment="1">
      <alignment horizontal="center" vertical="center"/>
    </xf>
    <xf numFmtId="0" fontId="0" fillId="8" borderId="16" xfId="0" applyFill="1" applyBorder="1" applyAlignment="1">
      <alignment horizontal="center" vertical="center"/>
    </xf>
    <xf numFmtId="0" fontId="0" fillId="8" borderId="22" xfId="0" applyFill="1" applyBorder="1" applyAlignment="1">
      <alignment horizontal="center" vertical="center"/>
    </xf>
    <xf numFmtId="0" fontId="13" fillId="0" borderId="39" xfId="0" applyFont="1" applyBorder="1" applyAlignment="1">
      <alignment horizontal="center" vertical="center" wrapText="1"/>
    </xf>
    <xf numFmtId="0" fontId="13" fillId="0" borderId="29" xfId="0" applyFont="1" applyBorder="1" applyAlignment="1">
      <alignment horizontal="center" vertical="center" wrapText="1"/>
    </xf>
    <xf numFmtId="0" fontId="0" fillId="0" borderId="29" xfId="0" applyBorder="1" applyAlignment="1">
      <alignment horizontal="center" wrapText="1"/>
    </xf>
    <xf numFmtId="0" fontId="0" fillId="0" borderId="33" xfId="0" applyBorder="1" applyAlignment="1">
      <alignment horizontal="center" wrapText="1"/>
    </xf>
    <xf numFmtId="0" fontId="0" fillId="0" borderId="11" xfId="0" applyBorder="1" applyAlignment="1">
      <alignment horizontal="center" wrapText="1"/>
    </xf>
    <xf numFmtId="0" fontId="0" fillId="0" borderId="12" xfId="0" applyBorder="1" applyAlignment="1">
      <alignment horizontal="center" wrapText="1"/>
    </xf>
    <xf numFmtId="0" fontId="0" fillId="11" borderId="1" xfId="0" applyFill="1" applyBorder="1" applyAlignment="1" applyProtection="1">
      <alignment horizontal="center"/>
      <protection locked="0"/>
    </xf>
    <xf numFmtId="0" fontId="0" fillId="0" borderId="44" xfId="0" applyBorder="1" applyAlignment="1">
      <alignment horizontal="left"/>
    </xf>
    <xf numFmtId="0" fontId="0" fillId="0" borderId="45" xfId="0" applyBorder="1" applyAlignment="1">
      <alignment horizontal="left"/>
    </xf>
    <xf numFmtId="0" fontId="0" fillId="0" borderId="49" xfId="0" applyBorder="1" applyAlignment="1">
      <alignment horizontal="left"/>
    </xf>
    <xf numFmtId="1" fontId="2" fillId="2" borderId="66" xfId="0" applyNumberFormat="1" applyFont="1" applyFill="1" applyBorder="1" applyAlignment="1" applyProtection="1">
      <alignment horizontal="center" vertical="center"/>
      <protection locked="0"/>
    </xf>
    <xf numFmtId="1" fontId="2" fillId="2" borderId="49" xfId="0" applyNumberFormat="1" applyFont="1" applyFill="1" applyBorder="1" applyAlignment="1" applyProtection="1">
      <alignment horizontal="center" vertical="center"/>
      <protection locked="0"/>
    </xf>
    <xf numFmtId="0" fontId="0" fillId="0" borderId="34" xfId="0" applyBorder="1" applyAlignment="1">
      <alignment horizontal="left"/>
    </xf>
    <xf numFmtId="0" fontId="0" fillId="0" borderId="54" xfId="0" applyBorder="1" applyAlignment="1">
      <alignment horizontal="left"/>
    </xf>
    <xf numFmtId="0" fontId="0" fillId="0" borderId="35" xfId="0" applyBorder="1" applyAlignment="1">
      <alignment horizontal="left"/>
    </xf>
    <xf numFmtId="1" fontId="2" fillId="2" borderId="40" xfId="0" applyNumberFormat="1" applyFont="1" applyFill="1" applyBorder="1" applyAlignment="1" applyProtection="1">
      <alignment horizontal="center"/>
      <protection locked="0"/>
    </xf>
    <xf numFmtId="1" fontId="2" fillId="2" borderId="35" xfId="0" applyNumberFormat="1" applyFont="1" applyFill="1" applyBorder="1" applyAlignment="1" applyProtection="1">
      <alignment horizontal="center"/>
      <protection locked="0"/>
    </xf>
    <xf numFmtId="0" fontId="0" fillId="0" borderId="12" xfId="0" applyBorder="1" applyAlignment="1">
      <alignment horizontal="center" vertical="center" wrapText="1"/>
    </xf>
    <xf numFmtId="0" fontId="0" fillId="2" borderId="12" xfId="0" applyFill="1" applyBorder="1" applyAlignment="1" applyProtection="1">
      <alignment horizontal="center" vertical="center" wrapText="1"/>
      <protection locked="0"/>
    </xf>
    <xf numFmtId="0" fontId="0" fillId="2" borderId="29" xfId="0" applyFill="1" applyBorder="1" applyAlignment="1" applyProtection="1">
      <alignment horizontal="center" wrapText="1"/>
      <protection locked="0"/>
    </xf>
    <xf numFmtId="0" fontId="0" fillId="2" borderId="33" xfId="0" applyFill="1" applyBorder="1" applyAlignment="1" applyProtection="1">
      <alignment horizontal="center" wrapText="1"/>
      <protection locked="0"/>
    </xf>
    <xf numFmtId="0" fontId="0" fillId="2" borderId="11" xfId="0" applyFill="1" applyBorder="1" applyAlignment="1" applyProtection="1">
      <alignment horizontal="center"/>
      <protection locked="0"/>
    </xf>
    <xf numFmtId="0" fontId="0" fillId="2" borderId="12" xfId="0" applyFill="1" applyBorder="1" applyAlignment="1" applyProtection="1">
      <alignment horizontal="center"/>
      <protection locked="0"/>
    </xf>
    <xf numFmtId="0" fontId="0" fillId="0" borderId="11" xfId="0" applyBorder="1" applyAlignment="1">
      <alignment horizontal="center"/>
    </xf>
    <xf numFmtId="0" fontId="0" fillId="0" borderId="12" xfId="0" applyBorder="1" applyAlignment="1">
      <alignment horizontal="center"/>
    </xf>
    <xf numFmtId="0" fontId="3" fillId="0" borderId="11" xfId="0" applyFont="1" applyBorder="1" applyAlignment="1">
      <alignment horizontal="left" vertical="center" wrapText="1"/>
    </xf>
    <xf numFmtId="0" fontId="3" fillId="0" borderId="12" xfId="0" applyFont="1" applyBorder="1" applyAlignment="1">
      <alignment horizontal="center" vertical="center" wrapText="1"/>
    </xf>
    <xf numFmtId="0" fontId="15" fillId="0" borderId="63" xfId="0" applyFont="1" applyBorder="1" applyAlignment="1">
      <alignment horizontal="center"/>
    </xf>
    <xf numFmtId="0" fontId="15" fillId="0" borderId="69" xfId="0" applyFont="1" applyBorder="1" applyAlignment="1">
      <alignment horizontal="center"/>
    </xf>
    <xf numFmtId="0" fontId="15" fillId="0" borderId="51" xfId="0" applyFont="1" applyBorder="1" applyAlignment="1">
      <alignment horizontal="center"/>
    </xf>
    <xf numFmtId="0" fontId="3" fillId="0" borderId="61" xfId="0" applyFont="1" applyFill="1" applyBorder="1" applyAlignment="1">
      <alignment horizontal="center" vertical="center" wrapText="1"/>
    </xf>
    <xf numFmtId="1" fontId="3" fillId="0" borderId="48" xfId="0" applyNumberFormat="1" applyFont="1" applyFill="1" applyBorder="1" applyAlignment="1">
      <alignment horizontal="center" vertical="center" wrapText="1"/>
    </xf>
    <xf numFmtId="0" fontId="3" fillId="0" borderId="37"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2" fillId="0" borderId="34" xfId="0" applyFont="1" applyBorder="1" applyAlignment="1">
      <alignment horizontal="center" wrapText="1"/>
    </xf>
    <xf numFmtId="0" fontId="2" fillId="0" borderId="35" xfId="0" applyFont="1" applyBorder="1" applyAlignment="1">
      <alignment horizontal="center" wrapText="1"/>
    </xf>
    <xf numFmtId="0" fontId="18" fillId="11" borderId="39" xfId="0" applyFont="1" applyFill="1" applyBorder="1" applyAlignment="1">
      <alignment horizontal="left" vertical="center" wrapText="1"/>
    </xf>
    <xf numFmtId="0" fontId="18" fillId="11" borderId="29" xfId="0" applyFont="1" applyFill="1" applyBorder="1" applyAlignment="1">
      <alignment horizontal="left" vertical="center" wrapText="1"/>
    </xf>
    <xf numFmtId="1" fontId="18" fillId="11" borderId="29" xfId="0" applyNumberFormat="1" applyFont="1" applyFill="1" applyBorder="1" applyAlignment="1">
      <alignment horizontal="center" vertical="center" wrapText="1"/>
    </xf>
    <xf numFmtId="1" fontId="18" fillId="11" borderId="33" xfId="0" applyNumberFormat="1" applyFont="1" applyFill="1" applyBorder="1" applyAlignment="1">
      <alignment horizontal="center" vertical="center" wrapText="1"/>
    </xf>
    <xf numFmtId="1" fontId="16" fillId="0" borderId="40" xfId="0" applyNumberFormat="1" applyFont="1" applyBorder="1" applyAlignment="1">
      <alignment horizontal="center" vertical="center" wrapText="1"/>
    </xf>
    <xf numFmtId="0" fontId="5" fillId="0" borderId="44" xfId="0" applyFont="1" applyFill="1" applyBorder="1" applyAlignment="1">
      <alignment horizontal="center"/>
    </xf>
    <xf numFmtId="0" fontId="5" fillId="0" borderId="45" xfId="0" applyFont="1" applyFill="1" applyBorder="1" applyAlignment="1">
      <alignment horizontal="center"/>
    </xf>
    <xf numFmtId="0" fontId="5" fillId="0" borderId="46" xfId="0" applyFont="1" applyFill="1" applyBorder="1" applyAlignment="1">
      <alignment horizontal="center"/>
    </xf>
    <xf numFmtId="0" fontId="5" fillId="0" borderId="23" xfId="0" applyFont="1" applyFill="1" applyBorder="1" applyAlignment="1">
      <alignment horizontal="center"/>
    </xf>
    <xf numFmtId="0" fontId="5" fillId="0" borderId="0" xfId="0" applyFont="1" applyFill="1" applyBorder="1" applyAlignment="1">
      <alignment horizontal="center"/>
    </xf>
    <xf numFmtId="0" fontId="5" fillId="0" borderId="30" xfId="0" applyFont="1" applyFill="1" applyBorder="1" applyAlignment="1">
      <alignment horizontal="center"/>
    </xf>
    <xf numFmtId="1" fontId="0" fillId="2" borderId="11" xfId="0" applyNumberFormat="1" applyFill="1" applyBorder="1" applyAlignment="1">
      <alignment horizontal="center"/>
    </xf>
    <xf numFmtId="1" fontId="0" fillId="2" borderId="12" xfId="0" applyNumberFormat="1" applyFill="1" applyBorder="1" applyAlignment="1">
      <alignment horizontal="center"/>
    </xf>
    <xf numFmtId="1" fontId="0" fillId="13" borderId="11" xfId="0" applyNumberFormat="1" applyFill="1" applyBorder="1" applyAlignment="1">
      <alignment horizontal="center"/>
    </xf>
    <xf numFmtId="1" fontId="0" fillId="13" borderId="12" xfId="0" applyNumberFormat="1" applyFill="1" applyBorder="1" applyAlignment="1">
      <alignment horizontal="center"/>
    </xf>
    <xf numFmtId="1" fontId="11" fillId="2" borderId="1" xfId="0" applyNumberFormat="1" applyFont="1" applyFill="1" applyBorder="1" applyAlignment="1">
      <alignment horizontal="center" vertical="center" wrapText="1"/>
    </xf>
    <xf numFmtId="1" fontId="11" fillId="2" borderId="14" xfId="0" applyNumberFormat="1" applyFont="1" applyFill="1" applyBorder="1" applyAlignment="1">
      <alignment horizontal="center" vertical="center" wrapText="1"/>
    </xf>
    <xf numFmtId="0" fontId="0" fillId="0" borderId="14" xfId="0" applyBorder="1" applyAlignment="1">
      <alignment horizontal="center" vertical="center" wrapText="1"/>
    </xf>
    <xf numFmtId="0" fontId="0" fillId="5" borderId="1" xfId="0" applyFill="1" applyBorder="1" applyAlignment="1">
      <alignment horizontal="center" vertical="center" wrapText="1"/>
    </xf>
    <xf numFmtId="0" fontId="0" fillId="5" borderId="14" xfId="0" applyFill="1" applyBorder="1" applyAlignment="1">
      <alignment horizontal="center" vertical="center" wrapText="1"/>
    </xf>
    <xf numFmtId="0" fontId="5" fillId="0" borderId="44" xfId="0" applyFont="1" applyFill="1" applyBorder="1" applyAlignment="1">
      <alignment horizontal="center" vertical="center"/>
    </xf>
    <xf numFmtId="0" fontId="5" fillId="0" borderId="45" xfId="0" applyFont="1" applyFill="1" applyBorder="1" applyAlignment="1">
      <alignment horizontal="center" vertical="center"/>
    </xf>
    <xf numFmtId="0" fontId="5" fillId="0" borderId="46" xfId="0" applyFont="1" applyFill="1" applyBorder="1" applyAlignment="1">
      <alignment horizontal="center" vertical="center"/>
    </xf>
    <xf numFmtId="0" fontId="0" fillId="12" borderId="23" xfId="0" applyFill="1" applyBorder="1" applyAlignment="1" applyProtection="1">
      <alignment horizontal="center"/>
      <protection locked="0"/>
    </xf>
    <xf numFmtId="0" fontId="0" fillId="12" borderId="0" xfId="0" applyFill="1" applyBorder="1" applyAlignment="1" applyProtection="1">
      <alignment horizontal="center"/>
      <protection locked="0"/>
    </xf>
    <xf numFmtId="0" fontId="0" fillId="12" borderId="30" xfId="0" applyFill="1" applyBorder="1" applyAlignment="1" applyProtection="1">
      <alignment horizontal="center"/>
      <protection locked="0"/>
    </xf>
    <xf numFmtId="0" fontId="0" fillId="12" borderId="56" xfId="0" applyFill="1" applyBorder="1" applyAlignment="1" applyProtection="1">
      <alignment horizontal="center"/>
      <protection locked="0"/>
    </xf>
    <xf numFmtId="0" fontId="0" fillId="12" borderId="41" xfId="0" applyFill="1" applyBorder="1" applyAlignment="1" applyProtection="1">
      <alignment horizontal="center"/>
      <protection locked="0"/>
    </xf>
    <xf numFmtId="0" fontId="0" fillId="12" borderId="42" xfId="0" applyFill="1" applyBorder="1" applyAlignment="1" applyProtection="1">
      <alignment horizontal="center"/>
      <protection locked="0"/>
    </xf>
    <xf numFmtId="0" fontId="19" fillId="0" borderId="5" xfId="0" applyFont="1" applyBorder="1" applyAlignment="1">
      <alignment horizontal="center" vertical="center" wrapText="1"/>
    </xf>
    <xf numFmtId="0" fontId="19" fillId="0" borderId="12" xfId="0" applyFont="1" applyBorder="1" applyAlignment="1">
      <alignment horizontal="center" vertical="center" wrapText="1"/>
    </xf>
    <xf numFmtId="0" fontId="10" fillId="13" borderId="5" xfId="0" applyFont="1" applyFill="1" applyBorder="1" applyAlignment="1">
      <alignment horizontal="center" vertical="center" wrapText="1"/>
    </xf>
    <xf numFmtId="0" fontId="10" fillId="13" borderId="6" xfId="0" applyFont="1" applyFill="1" applyBorder="1" applyAlignment="1">
      <alignment horizontal="center" vertical="center" wrapText="1"/>
    </xf>
    <xf numFmtId="1" fontId="2" fillId="2" borderId="63" xfId="0" applyNumberFormat="1" applyFont="1" applyFill="1" applyBorder="1" applyAlignment="1">
      <alignment horizontal="center" vertical="center" wrapText="1"/>
    </xf>
    <xf numFmtId="1" fontId="2" fillId="2" borderId="51" xfId="0" applyNumberFormat="1" applyFont="1" applyFill="1" applyBorder="1" applyAlignment="1">
      <alignment horizontal="center" vertical="center" wrapText="1"/>
    </xf>
    <xf numFmtId="0" fontId="0" fillId="0" borderId="11" xfId="0" applyFill="1" applyBorder="1" applyAlignment="1">
      <alignment horizontal="center" vertical="center" wrapText="1"/>
    </xf>
    <xf numFmtId="1" fontId="2" fillId="2" borderId="17" xfId="0" applyNumberFormat="1" applyFont="1" applyFill="1" applyBorder="1" applyAlignment="1">
      <alignment horizontal="center" vertical="center" wrapText="1"/>
    </xf>
    <xf numFmtId="1" fontId="2" fillId="2" borderId="69" xfId="0" applyNumberFormat="1" applyFont="1" applyFill="1" applyBorder="1" applyAlignment="1">
      <alignment horizontal="center" vertical="center" wrapText="1"/>
    </xf>
    <xf numFmtId="0" fontId="0" fillId="12" borderId="23" xfId="0" applyFill="1" applyBorder="1" applyAlignment="1" applyProtection="1">
      <alignment horizontal="center" vertical="center" wrapText="1"/>
      <protection locked="0"/>
    </xf>
    <xf numFmtId="0" fontId="0" fillId="12" borderId="0" xfId="0" applyFill="1" applyBorder="1" applyAlignment="1" applyProtection="1">
      <alignment horizontal="center" vertical="center" wrapText="1"/>
      <protection locked="0"/>
    </xf>
    <xf numFmtId="0" fontId="0" fillId="12" borderId="30" xfId="0" applyFill="1" applyBorder="1" applyAlignment="1" applyProtection="1">
      <alignment horizontal="center" vertical="center" wrapText="1"/>
      <protection locked="0"/>
    </xf>
    <xf numFmtId="0" fontId="0" fillId="12" borderId="56" xfId="0" applyFill="1" applyBorder="1" applyAlignment="1" applyProtection="1">
      <alignment horizontal="center" vertical="center" wrapText="1"/>
      <protection locked="0"/>
    </xf>
    <xf numFmtId="0" fontId="0" fillId="12" borderId="41" xfId="0" applyFill="1" applyBorder="1" applyAlignment="1" applyProtection="1">
      <alignment horizontal="center" vertical="center" wrapText="1"/>
      <protection locked="0"/>
    </xf>
    <xf numFmtId="0" fontId="0" fillId="12" borderId="42" xfId="0" applyFill="1" applyBorder="1" applyAlignment="1" applyProtection="1">
      <alignment horizontal="center" vertical="center" wrapText="1"/>
      <protection locked="0"/>
    </xf>
    <xf numFmtId="0" fontId="13" fillId="0" borderId="13" xfId="0" applyFont="1" applyBorder="1" applyAlignment="1">
      <alignment horizontal="center" vertical="center" wrapText="1"/>
    </xf>
    <xf numFmtId="1" fontId="13" fillId="0" borderId="15" xfId="0" applyNumberFormat="1" applyFont="1" applyBorder="1" applyAlignment="1">
      <alignment horizontal="center" vertical="center"/>
    </xf>
    <xf numFmtId="1" fontId="13" fillId="0" borderId="16" xfId="0" applyNumberFormat="1" applyFont="1" applyBorder="1" applyAlignment="1">
      <alignment horizontal="center" vertical="center"/>
    </xf>
    <xf numFmtId="0" fontId="0" fillId="0" borderId="2" xfId="0" applyFill="1" applyBorder="1" applyAlignment="1">
      <alignment horizontal="center" vertical="center" wrapText="1"/>
    </xf>
    <xf numFmtId="0" fontId="0" fillId="0" borderId="8" xfId="0" applyFill="1" applyBorder="1" applyAlignment="1">
      <alignment horizontal="center" vertical="center" wrapText="1"/>
    </xf>
    <xf numFmtId="0" fontId="0" fillId="0" borderId="3" xfId="0" applyFill="1" applyBorder="1" applyAlignment="1">
      <alignment horizontal="center" vertical="center" wrapText="1"/>
    </xf>
    <xf numFmtId="0" fontId="0" fillId="0" borderId="9" xfId="0" applyFill="1" applyBorder="1" applyAlignment="1">
      <alignment horizontal="center" vertical="center" wrapText="1"/>
    </xf>
    <xf numFmtId="1" fontId="18" fillId="2" borderId="1" xfId="0" applyNumberFormat="1" applyFont="1" applyFill="1" applyBorder="1" applyAlignment="1">
      <alignment horizontal="center" vertical="center"/>
    </xf>
    <xf numFmtId="1" fontId="18" fillId="2" borderId="11" xfId="0" applyNumberFormat="1" applyFont="1" applyFill="1" applyBorder="1" applyAlignment="1">
      <alignment horizontal="center" vertical="center"/>
    </xf>
    <xf numFmtId="0" fontId="18" fillId="0" borderId="6" xfId="0" applyFont="1" applyBorder="1" applyAlignment="1">
      <alignment horizontal="center" vertical="center" wrapText="1"/>
    </xf>
    <xf numFmtId="0" fontId="0" fillId="0" borderId="20" xfId="0" applyFill="1" applyBorder="1" applyAlignment="1">
      <alignment horizontal="center" vertical="center" wrapText="1"/>
    </xf>
    <xf numFmtId="0" fontId="0" fillId="0" borderId="21" xfId="0" applyFill="1" applyBorder="1" applyAlignment="1">
      <alignment horizontal="center" vertical="center" wrapText="1"/>
    </xf>
    <xf numFmtId="0" fontId="0" fillId="0" borderId="14" xfId="0" applyFill="1" applyBorder="1" applyAlignment="1">
      <alignment horizontal="center" vertical="center" wrapText="1"/>
    </xf>
    <xf numFmtId="1" fontId="18" fillId="2" borderId="6" xfId="0" applyNumberFormat="1" applyFont="1" applyFill="1" applyBorder="1" applyAlignment="1">
      <alignment horizontal="center" vertical="center"/>
    </xf>
    <xf numFmtId="9" fontId="18" fillId="2" borderId="31" xfId="1" applyFont="1" applyFill="1" applyBorder="1" applyAlignment="1" applyProtection="1">
      <alignment horizontal="center" vertical="center"/>
      <protection locked="0"/>
    </xf>
    <xf numFmtId="9" fontId="18" fillId="2" borderId="27" xfId="1" applyFont="1" applyFill="1" applyBorder="1" applyAlignment="1" applyProtection="1">
      <alignment horizontal="center" vertical="center"/>
      <protection locked="0"/>
    </xf>
    <xf numFmtId="9" fontId="18" fillId="2" borderId="28" xfId="1" applyFont="1" applyFill="1" applyBorder="1" applyAlignment="1" applyProtection="1">
      <alignment horizontal="center" vertical="center"/>
      <protection locked="0"/>
    </xf>
    <xf numFmtId="9" fontId="18" fillId="2" borderId="23" xfId="1" applyFont="1" applyFill="1" applyBorder="1" applyAlignment="1" applyProtection="1">
      <alignment horizontal="center" vertical="center"/>
      <protection locked="0"/>
    </xf>
    <xf numFmtId="9" fontId="18" fillId="2" borderId="0" xfId="1" applyFont="1" applyFill="1" applyBorder="1" applyAlignment="1" applyProtection="1">
      <alignment horizontal="center" vertical="center"/>
      <protection locked="0"/>
    </xf>
    <xf numFmtId="9" fontId="18" fillId="2" borderId="30" xfId="1" applyFont="1" applyFill="1" applyBorder="1" applyAlignment="1" applyProtection="1">
      <alignment horizontal="center" vertical="center"/>
      <protection locked="0"/>
    </xf>
    <xf numFmtId="9" fontId="18" fillId="2" borderId="56" xfId="1" applyFont="1" applyFill="1" applyBorder="1" applyAlignment="1" applyProtection="1">
      <alignment horizontal="center" vertical="center"/>
      <protection locked="0"/>
    </xf>
    <xf numFmtId="9" fontId="18" fillId="2" borderId="41" xfId="1" applyFont="1" applyFill="1" applyBorder="1" applyAlignment="1" applyProtection="1">
      <alignment horizontal="center" vertical="center"/>
      <protection locked="0"/>
    </xf>
    <xf numFmtId="9" fontId="18" fillId="2" borderId="42" xfId="1" applyFont="1" applyFill="1" applyBorder="1" applyAlignment="1" applyProtection="1">
      <alignment horizontal="center" vertical="center"/>
      <protection locked="0"/>
    </xf>
    <xf numFmtId="0" fontId="5" fillId="9" borderId="46" xfId="0" applyFont="1" applyFill="1" applyBorder="1" applyAlignment="1">
      <alignment horizontal="left"/>
    </xf>
    <xf numFmtId="1" fontId="11" fillId="2" borderId="16" xfId="0" applyNumberFormat="1" applyFont="1" applyFill="1" applyBorder="1" applyAlignment="1">
      <alignment horizontal="center" vertical="center"/>
    </xf>
    <xf numFmtId="1" fontId="11" fillId="2" borderId="22" xfId="0" applyNumberFormat="1" applyFont="1" applyFill="1" applyBorder="1" applyAlignment="1">
      <alignment horizontal="center" vertical="center"/>
    </xf>
    <xf numFmtId="0" fontId="5" fillId="9" borderId="46" xfId="0" applyFont="1" applyFill="1" applyBorder="1" applyAlignment="1">
      <alignment horizontal="left" vertical="center"/>
    </xf>
    <xf numFmtId="0" fontId="19" fillId="2" borderId="1" xfId="0" applyFont="1" applyFill="1" applyBorder="1" applyAlignment="1">
      <alignment horizontal="center" vertical="center" wrapText="1"/>
    </xf>
    <xf numFmtId="0" fontId="12" fillId="12" borderId="23" xfId="0" applyFont="1" applyFill="1" applyBorder="1" applyAlignment="1" applyProtection="1">
      <alignment horizontal="center" vertical="center" wrapText="1"/>
      <protection locked="0"/>
    </xf>
    <xf numFmtId="0" fontId="12" fillId="12" borderId="0" xfId="0" applyFont="1" applyFill="1" applyBorder="1" applyAlignment="1" applyProtection="1">
      <alignment horizontal="center" vertical="center" wrapText="1"/>
      <protection locked="0"/>
    </xf>
    <xf numFmtId="0" fontId="12" fillId="12" borderId="30" xfId="0" applyFont="1" applyFill="1" applyBorder="1" applyAlignment="1" applyProtection="1">
      <alignment horizontal="center" vertical="center" wrapText="1"/>
      <protection locked="0"/>
    </xf>
    <xf numFmtId="0" fontId="12" fillId="12" borderId="56" xfId="0" applyFont="1" applyFill="1" applyBorder="1" applyAlignment="1" applyProtection="1">
      <alignment horizontal="center" vertical="center" wrapText="1"/>
      <protection locked="0"/>
    </xf>
    <xf numFmtId="0" fontId="12" fillId="12" borderId="41" xfId="0" applyFont="1" applyFill="1" applyBorder="1" applyAlignment="1" applyProtection="1">
      <alignment horizontal="center" vertical="center" wrapText="1"/>
      <protection locked="0"/>
    </xf>
    <xf numFmtId="0" fontId="12" fillId="12" borderId="42" xfId="0" applyFont="1" applyFill="1" applyBorder="1" applyAlignment="1" applyProtection="1">
      <alignment horizontal="center" vertical="center" wrapText="1"/>
      <protection locked="0"/>
    </xf>
    <xf numFmtId="1" fontId="12" fillId="2" borderId="1" xfId="0" applyNumberFormat="1" applyFont="1" applyFill="1" applyBorder="1" applyAlignment="1">
      <alignment horizontal="center" vertical="center"/>
    </xf>
    <xf numFmtId="0" fontId="10" fillId="0" borderId="48" xfId="0" applyFont="1" applyBorder="1" applyAlignment="1">
      <alignment horizontal="center" vertical="center" wrapText="1"/>
    </xf>
    <xf numFmtId="0" fontId="10" fillId="0" borderId="36" xfId="0" applyFont="1" applyBorder="1" applyAlignment="1">
      <alignment horizontal="center" vertical="center" wrapText="1"/>
    </xf>
    <xf numFmtId="0" fontId="19" fillId="0" borderId="31" xfId="0" applyFont="1" applyBorder="1" applyAlignment="1">
      <alignment horizontal="center" vertical="center" wrapText="1"/>
    </xf>
    <xf numFmtId="0" fontId="19" fillId="0" borderId="32" xfId="0" applyFont="1" applyBorder="1" applyAlignment="1">
      <alignment horizontal="center" vertical="center" wrapText="1"/>
    </xf>
    <xf numFmtId="0" fontId="10" fillId="5" borderId="13" xfId="0" applyFont="1" applyFill="1" applyBorder="1" applyAlignment="1">
      <alignment horizontal="center" vertical="center" wrapText="1"/>
    </xf>
    <xf numFmtId="9" fontId="12" fillId="12" borderId="13" xfId="1" applyFont="1" applyFill="1" applyBorder="1" applyAlignment="1" applyProtection="1">
      <alignment horizontal="center" vertical="center" wrapText="1"/>
      <protection locked="0"/>
    </xf>
    <xf numFmtId="9" fontId="12" fillId="12" borderId="1" xfId="1" applyFont="1" applyFill="1" applyBorder="1" applyAlignment="1" applyProtection="1">
      <alignment horizontal="center" vertical="center" wrapText="1"/>
      <protection locked="0"/>
    </xf>
    <xf numFmtId="9" fontId="12" fillId="12" borderId="14" xfId="1" applyFont="1" applyFill="1" applyBorder="1" applyAlignment="1" applyProtection="1">
      <alignment horizontal="center" vertical="center" wrapText="1"/>
      <protection locked="0"/>
    </xf>
    <xf numFmtId="9" fontId="12" fillId="12" borderId="15" xfId="1" applyFont="1" applyFill="1" applyBorder="1" applyAlignment="1" applyProtection="1">
      <alignment horizontal="center" vertical="center" wrapText="1"/>
      <protection locked="0"/>
    </xf>
    <xf numFmtId="9" fontId="12" fillId="12" borderId="16" xfId="1" applyFont="1" applyFill="1" applyBorder="1" applyAlignment="1" applyProtection="1">
      <alignment horizontal="center" vertical="center" wrapText="1"/>
      <protection locked="0"/>
    </xf>
    <xf numFmtId="9" fontId="12" fillId="12" borderId="22" xfId="1" applyFont="1" applyFill="1" applyBorder="1" applyAlignment="1" applyProtection="1">
      <alignment horizontal="center" vertical="center" wrapText="1"/>
      <protection locked="0"/>
    </xf>
    <xf numFmtId="0" fontId="0" fillId="0" borderId="7" xfId="0" applyFont="1" applyBorder="1" applyAlignment="1">
      <alignment horizontal="center" vertical="center" wrapText="1"/>
    </xf>
    <xf numFmtId="1" fontId="27" fillId="2" borderId="11" xfId="0" applyNumberFormat="1" applyFont="1" applyFill="1" applyBorder="1" applyAlignment="1">
      <alignment horizontal="center" vertical="center" wrapText="1"/>
    </xf>
    <xf numFmtId="1" fontId="27" fillId="2" borderId="7" xfId="0" applyNumberFormat="1" applyFont="1" applyFill="1" applyBorder="1" applyAlignment="1">
      <alignment horizontal="center" vertical="center" wrapText="1"/>
    </xf>
    <xf numFmtId="0" fontId="19" fillId="2" borderId="13" xfId="0" applyFont="1" applyFill="1" applyBorder="1" applyAlignment="1">
      <alignment horizontal="center" vertical="center" wrapText="1"/>
    </xf>
    <xf numFmtId="0" fontId="18" fillId="12" borderId="0" xfId="0" applyFont="1" applyFill="1" applyBorder="1" applyAlignment="1" applyProtection="1">
      <alignment horizontal="center" vertical="center" wrapText="1"/>
      <protection locked="0"/>
    </xf>
    <xf numFmtId="0" fontId="18" fillId="12" borderId="30" xfId="0" applyFont="1" applyFill="1" applyBorder="1" applyAlignment="1" applyProtection="1">
      <alignment horizontal="center" vertical="center" wrapText="1"/>
      <protection locked="0"/>
    </xf>
    <xf numFmtId="0" fontId="18" fillId="12" borderId="41" xfId="0" applyFont="1" applyFill="1" applyBorder="1" applyAlignment="1" applyProtection="1">
      <alignment horizontal="center" vertical="center" wrapText="1"/>
      <protection locked="0"/>
    </xf>
    <xf numFmtId="0" fontId="18" fillId="12" borderId="42" xfId="0" applyFont="1" applyFill="1" applyBorder="1" applyAlignment="1" applyProtection="1">
      <alignment horizontal="center" vertical="center" wrapText="1"/>
      <protection locked="0"/>
    </xf>
    <xf numFmtId="0" fontId="18" fillId="0" borderId="31" xfId="0" applyFont="1" applyBorder="1" applyAlignment="1">
      <alignment horizontal="left" vertical="top" wrapText="1"/>
    </xf>
    <xf numFmtId="0" fontId="18" fillId="0" borderId="32" xfId="0" applyFont="1" applyBorder="1" applyAlignment="1">
      <alignment horizontal="left" vertical="top" wrapText="1"/>
    </xf>
    <xf numFmtId="0" fontId="5" fillId="0" borderId="34" xfId="0" applyFont="1" applyBorder="1" applyAlignment="1">
      <alignment horizontal="center" vertical="center"/>
    </xf>
    <xf numFmtId="0" fontId="5" fillId="0" borderId="54" xfId="0" applyFont="1" applyBorder="1" applyAlignment="1">
      <alignment horizontal="center" vertical="center"/>
    </xf>
    <xf numFmtId="0" fontId="18" fillId="0" borderId="14" xfId="0" applyFont="1" applyBorder="1" applyAlignment="1">
      <alignment horizontal="center" vertical="center" wrapText="1"/>
    </xf>
    <xf numFmtId="1" fontId="3" fillId="2" borderId="16" xfId="0" applyNumberFormat="1" applyFont="1" applyFill="1" applyBorder="1" applyAlignment="1">
      <alignment horizontal="center" vertical="center"/>
    </xf>
    <xf numFmtId="1" fontId="3" fillId="2" borderId="22" xfId="0" applyNumberFormat="1" applyFont="1" applyFill="1" applyBorder="1" applyAlignment="1">
      <alignment horizontal="center" vertical="center"/>
    </xf>
    <xf numFmtId="1" fontId="5" fillId="0" borderId="17" xfId="0" applyNumberFormat="1" applyFont="1" applyBorder="1" applyAlignment="1">
      <alignment horizontal="center" vertical="center"/>
    </xf>
    <xf numFmtId="1" fontId="5" fillId="0" borderId="69" xfId="0" applyNumberFormat="1" applyFont="1" applyBorder="1" applyAlignment="1">
      <alignment horizontal="center" vertical="center"/>
    </xf>
    <xf numFmtId="0" fontId="0" fillId="2" borderId="11" xfId="0" applyFill="1" applyBorder="1" applyAlignment="1">
      <alignment horizontal="center" vertical="center" wrapText="1"/>
    </xf>
    <xf numFmtId="0" fontId="0" fillId="2" borderId="12" xfId="0" applyFill="1" applyBorder="1" applyAlignment="1">
      <alignment horizontal="center" vertical="center" wrapText="1"/>
    </xf>
    <xf numFmtId="1" fontId="0" fillId="2" borderId="11" xfId="0" applyNumberFormat="1" applyFill="1" applyBorder="1" applyAlignment="1">
      <alignment horizontal="center" vertical="center" wrapText="1"/>
    </xf>
    <xf numFmtId="1" fontId="0" fillId="2" borderId="12" xfId="0" applyNumberFormat="1" applyFill="1" applyBorder="1" applyAlignment="1">
      <alignment horizontal="center" vertical="center" wrapText="1"/>
    </xf>
    <xf numFmtId="1" fontId="0" fillId="2" borderId="33" xfId="0" applyNumberFormat="1" applyFill="1" applyBorder="1" applyAlignment="1">
      <alignment horizontal="center" vertical="center" wrapText="1"/>
    </xf>
    <xf numFmtId="1" fontId="0" fillId="2" borderId="32" xfId="0" applyNumberFormat="1" applyFill="1" applyBorder="1" applyAlignment="1">
      <alignment horizontal="center" vertical="center" wrapText="1"/>
    </xf>
    <xf numFmtId="1" fontId="2" fillId="0" borderId="40" xfId="0" applyNumberFormat="1" applyFont="1" applyFill="1" applyBorder="1" applyAlignment="1">
      <alignment horizontal="center" vertical="center" wrapText="1"/>
    </xf>
    <xf numFmtId="1" fontId="2" fillId="0" borderId="35" xfId="0" applyNumberFormat="1" applyFont="1" applyFill="1" applyBorder="1" applyAlignment="1">
      <alignment horizontal="center" vertical="center" wrapText="1"/>
    </xf>
    <xf numFmtId="0" fontId="15" fillId="0" borderId="34" xfId="0" applyFont="1" applyBorder="1" applyAlignment="1">
      <alignment horizontal="center" vertical="center" wrapText="1"/>
    </xf>
    <xf numFmtId="0" fontId="15" fillId="0" borderId="54" xfId="0" applyFont="1" applyBorder="1" applyAlignment="1">
      <alignment horizontal="center" vertical="center" wrapText="1"/>
    </xf>
    <xf numFmtId="0" fontId="15" fillId="0" borderId="35" xfId="0" applyFont="1" applyBorder="1" applyAlignment="1">
      <alignment horizontal="center" vertical="center" wrapText="1"/>
    </xf>
    <xf numFmtId="0" fontId="5" fillId="9" borderId="29" xfId="0" applyFont="1" applyFill="1" applyBorder="1" applyAlignment="1">
      <alignment horizontal="left" vertical="center"/>
    </xf>
    <xf numFmtId="0" fontId="5" fillId="9" borderId="33" xfId="0" applyFont="1" applyFill="1" applyBorder="1" applyAlignment="1">
      <alignment horizontal="left" vertical="center"/>
    </xf>
    <xf numFmtId="9" fontId="10" fillId="12" borderId="12" xfId="1" applyFont="1" applyFill="1" applyBorder="1" applyAlignment="1" applyProtection="1">
      <alignment horizontal="center" vertical="center"/>
      <protection locked="0"/>
    </xf>
    <xf numFmtId="9" fontId="10" fillId="12" borderId="1" xfId="1" applyFont="1" applyFill="1" applyBorder="1" applyAlignment="1" applyProtection="1">
      <alignment horizontal="center" vertical="center"/>
      <protection locked="0"/>
    </xf>
    <xf numFmtId="9" fontId="10" fillId="12" borderId="14" xfId="1" applyFont="1" applyFill="1" applyBorder="1" applyAlignment="1" applyProtection="1">
      <alignment horizontal="center" vertical="center"/>
      <protection locked="0"/>
    </xf>
    <xf numFmtId="9" fontId="10" fillId="12" borderId="51" xfId="1" applyFont="1" applyFill="1" applyBorder="1" applyAlignment="1" applyProtection="1">
      <alignment horizontal="center" vertical="center"/>
      <protection locked="0"/>
    </xf>
    <xf numFmtId="9" fontId="10" fillId="12" borderId="16" xfId="1" applyFont="1" applyFill="1" applyBorder="1" applyAlignment="1" applyProtection="1">
      <alignment horizontal="center" vertical="center"/>
      <protection locked="0"/>
    </xf>
    <xf numFmtId="9" fontId="10" fillId="12" borderId="22" xfId="1" applyFont="1" applyFill="1" applyBorder="1" applyAlignment="1" applyProtection="1">
      <alignment horizontal="center" vertical="center"/>
      <protection locked="0"/>
    </xf>
    <xf numFmtId="0" fontId="19" fillId="0" borderId="21" xfId="0" applyFont="1" applyBorder="1" applyAlignment="1">
      <alignment horizontal="center" vertical="center" wrapText="1"/>
    </xf>
    <xf numFmtId="0" fontId="19" fillId="0" borderId="14" xfId="0" applyFont="1" applyBorder="1" applyAlignment="1">
      <alignment horizontal="center" vertical="center" wrapText="1"/>
    </xf>
    <xf numFmtId="0" fontId="17" fillId="0" borderId="20" xfId="0" applyFont="1" applyBorder="1" applyAlignment="1">
      <alignment horizontal="center" vertical="center" wrapText="1"/>
    </xf>
    <xf numFmtId="0" fontId="19" fillId="0" borderId="20" xfId="0" applyFont="1" applyFill="1" applyBorder="1" applyAlignment="1">
      <alignment horizontal="center" vertical="center" wrapText="1"/>
    </xf>
    <xf numFmtId="0" fontId="3" fillId="0" borderId="47" xfId="0" applyFont="1" applyFill="1" applyBorder="1" applyAlignment="1">
      <alignment horizontal="center" vertical="center" wrapText="1"/>
    </xf>
    <xf numFmtId="0" fontId="3" fillId="0" borderId="48" xfId="0" applyFont="1" applyFill="1" applyBorder="1" applyAlignment="1">
      <alignment horizontal="center" vertical="center" wrapText="1"/>
    </xf>
    <xf numFmtId="1" fontId="18" fillId="2" borderId="1" xfId="0" applyNumberFormat="1" applyFont="1" applyFill="1" applyBorder="1" applyAlignment="1">
      <alignment horizontal="center" vertical="center" wrapText="1"/>
    </xf>
    <xf numFmtId="0" fontId="3" fillId="0" borderId="19" xfId="0" applyFont="1" applyBorder="1" applyAlignment="1">
      <alignment horizontal="center" vertical="center" wrapText="1"/>
    </xf>
    <xf numFmtId="0" fontId="3" fillId="0" borderId="20" xfId="0" applyFont="1" applyBorder="1" applyAlignment="1">
      <alignment horizontal="center" vertical="center" wrapText="1"/>
    </xf>
    <xf numFmtId="0" fontId="7" fillId="0" borderId="20"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14" xfId="0" applyFont="1" applyBorder="1" applyAlignment="1">
      <alignment horizontal="center" vertical="center" wrapText="1"/>
    </xf>
    <xf numFmtId="0" fontId="16" fillId="0" borderId="63" xfId="0" applyFont="1" applyBorder="1" applyAlignment="1">
      <alignment horizontal="right" vertical="center" wrapText="1"/>
    </xf>
    <xf numFmtId="0" fontId="16" fillId="0" borderId="51" xfId="0" applyFont="1" applyBorder="1" applyAlignment="1">
      <alignment horizontal="right" vertical="center" wrapText="1"/>
    </xf>
    <xf numFmtId="1" fontId="16" fillId="0" borderId="16" xfId="0" applyNumberFormat="1" applyFont="1" applyBorder="1" applyAlignment="1">
      <alignment horizontal="center" vertical="center" wrapText="1"/>
    </xf>
    <xf numFmtId="9" fontId="0" fillId="11" borderId="31" xfId="1" applyFont="1" applyFill="1" applyBorder="1" applyAlignment="1" applyProtection="1">
      <alignment horizontal="center" vertical="center"/>
      <protection locked="0"/>
    </xf>
    <xf numFmtId="9" fontId="0" fillId="11" borderId="27" xfId="1" applyFont="1" applyFill="1" applyBorder="1" applyAlignment="1" applyProtection="1">
      <alignment horizontal="center" vertical="center"/>
      <protection locked="0"/>
    </xf>
    <xf numFmtId="9" fontId="0" fillId="11" borderId="28" xfId="1" applyFont="1" applyFill="1" applyBorder="1" applyAlignment="1" applyProtection="1">
      <alignment horizontal="center" vertical="center"/>
      <protection locked="0"/>
    </xf>
    <xf numFmtId="9" fontId="0" fillId="11" borderId="23" xfId="1" applyFont="1" applyFill="1" applyBorder="1" applyAlignment="1" applyProtection="1">
      <alignment horizontal="center" vertical="center"/>
      <protection locked="0"/>
    </xf>
    <xf numFmtId="9" fontId="0" fillId="11" borderId="0" xfId="1" applyFont="1" applyFill="1" applyBorder="1" applyAlignment="1" applyProtection="1">
      <alignment horizontal="center" vertical="center"/>
      <protection locked="0"/>
    </xf>
    <xf numFmtId="9" fontId="0" fillId="11" borderId="30" xfId="1" applyFont="1" applyFill="1" applyBorder="1" applyAlignment="1" applyProtection="1">
      <alignment horizontal="center" vertical="center"/>
      <protection locked="0"/>
    </xf>
    <xf numFmtId="9" fontId="0" fillId="11" borderId="56" xfId="1" applyFont="1" applyFill="1" applyBorder="1" applyAlignment="1" applyProtection="1">
      <alignment horizontal="center" vertical="center"/>
      <protection locked="0"/>
    </xf>
    <xf numFmtId="9" fontId="0" fillId="11" borderId="41" xfId="1" applyFont="1" applyFill="1" applyBorder="1" applyAlignment="1" applyProtection="1">
      <alignment horizontal="center" vertical="center"/>
      <protection locked="0"/>
    </xf>
    <xf numFmtId="9" fontId="0" fillId="11" borderId="42" xfId="1" applyFont="1" applyFill="1" applyBorder="1" applyAlignment="1" applyProtection="1">
      <alignment horizontal="center" vertical="center"/>
      <protection locked="0"/>
    </xf>
    <xf numFmtId="0" fontId="18" fillId="0" borderId="11" xfId="0" applyFont="1" applyBorder="1" applyAlignment="1">
      <alignment horizontal="center" vertical="center" wrapText="1"/>
    </xf>
    <xf numFmtId="1" fontId="18" fillId="11" borderId="1" xfId="0" applyNumberFormat="1" applyFont="1" applyFill="1" applyBorder="1" applyAlignment="1">
      <alignment horizontal="center" vertical="center" wrapText="1"/>
    </xf>
    <xf numFmtId="1" fontId="18" fillId="11" borderId="11" xfId="0" applyNumberFormat="1" applyFont="1" applyFill="1" applyBorder="1" applyAlignment="1">
      <alignment horizontal="center" vertical="center" wrapText="1"/>
    </xf>
    <xf numFmtId="0" fontId="0" fillId="2" borderId="1" xfId="0" applyFill="1" applyBorder="1" applyAlignment="1">
      <alignment horizontal="center" vertical="center"/>
    </xf>
    <xf numFmtId="1" fontId="11" fillId="2" borderId="11" xfId="0" applyNumberFormat="1" applyFont="1" applyFill="1" applyBorder="1" applyAlignment="1">
      <alignment horizontal="center" vertical="center" wrapText="1"/>
    </xf>
    <xf numFmtId="0" fontId="0" fillId="2" borderId="29" xfId="0" applyFill="1" applyBorder="1" applyAlignment="1">
      <alignment horizontal="center" vertical="center"/>
    </xf>
    <xf numFmtId="1" fontId="11" fillId="2" borderId="29" xfId="0" applyNumberFormat="1" applyFont="1" applyFill="1" applyBorder="1" applyAlignment="1">
      <alignment horizontal="center" vertical="center" wrapText="1"/>
    </xf>
    <xf numFmtId="1" fontId="11" fillId="2" borderId="33" xfId="0" applyNumberFormat="1" applyFont="1" applyFill="1" applyBorder="1" applyAlignment="1">
      <alignment horizontal="center" vertical="center" wrapText="1"/>
    </xf>
    <xf numFmtId="1" fontId="13" fillId="8" borderId="17" xfId="0" applyNumberFormat="1" applyFont="1" applyFill="1" applyBorder="1" applyAlignment="1">
      <alignment horizontal="center" vertical="center" wrapText="1"/>
    </xf>
    <xf numFmtId="1" fontId="13" fillId="8" borderId="51" xfId="0" applyNumberFormat="1" applyFont="1" applyFill="1" applyBorder="1" applyAlignment="1">
      <alignment horizontal="center" vertical="center" wrapText="1"/>
    </xf>
    <xf numFmtId="1" fontId="2" fillId="0" borderId="54" xfId="0" applyNumberFormat="1" applyFont="1" applyBorder="1" applyAlignment="1">
      <alignment horizontal="center" vertical="center"/>
    </xf>
    <xf numFmtId="1" fontId="11" fillId="8" borderId="11" xfId="0" applyNumberFormat="1" applyFont="1" applyFill="1" applyBorder="1" applyAlignment="1">
      <alignment horizontal="center" vertical="center" wrapText="1"/>
    </xf>
    <xf numFmtId="1" fontId="17" fillId="5" borderId="11" xfId="0" applyNumberFormat="1" applyFont="1" applyFill="1" applyBorder="1" applyAlignment="1">
      <alignment horizontal="center" vertical="center" wrapText="1"/>
    </xf>
    <xf numFmtId="1" fontId="17" fillId="5" borderId="12" xfId="0" applyNumberFormat="1" applyFont="1" applyFill="1" applyBorder="1" applyAlignment="1">
      <alignment horizontal="center" vertical="center" wrapText="1"/>
    </xf>
    <xf numFmtId="1" fontId="17" fillId="0" borderId="11" xfId="0" applyNumberFormat="1" applyFont="1" applyFill="1" applyBorder="1" applyAlignment="1">
      <alignment horizontal="center" vertical="center" wrapText="1"/>
    </xf>
    <xf numFmtId="1" fontId="17" fillId="0" borderId="12" xfId="0" applyNumberFormat="1" applyFont="1" applyFill="1" applyBorder="1" applyAlignment="1">
      <alignment horizontal="center" vertical="center" wrapText="1"/>
    </xf>
    <xf numFmtId="1" fontId="13" fillId="0" borderId="29" xfId="0" applyNumberFormat="1" applyFont="1" applyBorder="1" applyAlignment="1">
      <alignment horizontal="center" vertical="center" wrapText="1"/>
    </xf>
    <xf numFmtId="1" fontId="13" fillId="0" borderId="50" xfId="0" applyNumberFormat="1" applyFont="1" applyBorder="1" applyAlignment="1">
      <alignment horizontal="center" vertical="center" wrapText="1"/>
    </xf>
    <xf numFmtId="1" fontId="13" fillId="0" borderId="9" xfId="0" applyNumberFormat="1" applyFont="1" applyBorder="1" applyAlignment="1">
      <alignment horizontal="center" vertical="center" wrapText="1"/>
    </xf>
    <xf numFmtId="0" fontId="0" fillId="0" borderId="0" xfId="0" applyBorder="1" applyAlignment="1">
      <alignment horizontal="center" vertical="center" wrapText="1"/>
    </xf>
    <xf numFmtId="0" fontId="0" fillId="0" borderId="39" xfId="0" applyBorder="1" applyAlignment="1">
      <alignment horizontal="left"/>
    </xf>
    <xf numFmtId="0" fontId="0" fillId="0" borderId="29" xfId="0" applyBorder="1" applyAlignment="1">
      <alignment horizontal="left"/>
    </xf>
    <xf numFmtId="0" fontId="0" fillId="0" borderId="48" xfId="0" applyBorder="1" applyAlignment="1">
      <alignment horizontal="left"/>
    </xf>
    <xf numFmtId="0" fontId="0" fillId="0" borderId="36" xfId="0" applyBorder="1" applyAlignment="1">
      <alignment horizontal="left"/>
    </xf>
    <xf numFmtId="0" fontId="0" fillId="0" borderId="30" xfId="0" applyBorder="1" applyAlignment="1">
      <alignment horizontal="center" vertical="center" wrapText="1"/>
    </xf>
    <xf numFmtId="0" fontId="0" fillId="12" borderId="31" xfId="0" applyFill="1" applyBorder="1" applyAlignment="1" applyProtection="1">
      <alignment horizontal="center" wrapText="1"/>
      <protection locked="0"/>
    </xf>
    <xf numFmtId="0" fontId="0" fillId="12" borderId="27" xfId="0" applyFill="1" applyBorder="1" applyAlignment="1" applyProtection="1">
      <alignment horizontal="center" wrapText="1"/>
      <protection locked="0"/>
    </xf>
    <xf numFmtId="0" fontId="0" fillId="12" borderId="28" xfId="0" applyFill="1" applyBorder="1" applyAlignment="1" applyProtection="1">
      <alignment horizontal="center" wrapText="1"/>
      <protection locked="0"/>
    </xf>
    <xf numFmtId="0" fontId="0" fillId="12" borderId="23" xfId="0" applyFill="1" applyBorder="1" applyAlignment="1" applyProtection="1">
      <alignment horizontal="center" wrapText="1"/>
      <protection locked="0"/>
    </xf>
    <xf numFmtId="0" fontId="0" fillId="12" borderId="0" xfId="0" applyFill="1" applyBorder="1" applyAlignment="1" applyProtection="1">
      <alignment horizontal="center" wrapText="1"/>
      <protection locked="0"/>
    </xf>
    <xf numFmtId="0" fontId="0" fillId="12" borderId="30" xfId="0" applyFill="1" applyBorder="1" applyAlignment="1" applyProtection="1">
      <alignment horizontal="center" wrapText="1"/>
      <protection locked="0"/>
    </xf>
    <xf numFmtId="0" fontId="0" fillId="12" borderId="56" xfId="0" applyFill="1" applyBorder="1" applyAlignment="1" applyProtection="1">
      <alignment horizontal="center" wrapText="1"/>
      <protection locked="0"/>
    </xf>
    <xf numFmtId="0" fontId="0" fillId="12" borderId="41" xfId="0" applyFill="1" applyBorder="1" applyAlignment="1" applyProtection="1">
      <alignment horizontal="center" wrapText="1"/>
      <protection locked="0"/>
    </xf>
    <xf numFmtId="0" fontId="0" fillId="12" borderId="42" xfId="0" applyFill="1" applyBorder="1" applyAlignment="1" applyProtection="1">
      <alignment horizontal="center" wrapText="1"/>
      <protection locked="0"/>
    </xf>
    <xf numFmtId="0" fontId="0" fillId="0" borderId="36" xfId="0" applyBorder="1" applyAlignment="1">
      <alignment horizontal="center" vertical="center" wrapText="1"/>
    </xf>
    <xf numFmtId="1" fontId="12" fillId="2" borderId="29" xfId="0" applyNumberFormat="1" applyFont="1" applyFill="1" applyBorder="1" applyAlignment="1">
      <alignment horizontal="center" vertical="center"/>
    </xf>
    <xf numFmtId="1" fontId="12" fillId="2" borderId="11" xfId="0" applyNumberFormat="1" applyFont="1" applyFill="1" applyBorder="1" applyAlignment="1">
      <alignment horizontal="center" vertical="center"/>
    </xf>
    <xf numFmtId="1" fontId="12" fillId="2" borderId="7" xfId="0" applyNumberFormat="1" applyFont="1" applyFill="1" applyBorder="1" applyAlignment="1">
      <alignment horizontal="center" vertical="center"/>
    </xf>
    <xf numFmtId="1" fontId="12" fillId="2" borderId="17" xfId="0" applyNumberFormat="1" applyFont="1" applyFill="1" applyBorder="1" applyAlignment="1">
      <alignment horizontal="center" vertical="center"/>
    </xf>
    <xf numFmtId="1" fontId="12" fillId="2" borderId="18" xfId="0" applyNumberFormat="1" applyFont="1" applyFill="1" applyBorder="1" applyAlignment="1">
      <alignment horizontal="center" vertical="center"/>
    </xf>
    <xf numFmtId="1" fontId="11" fillId="0" borderId="55" xfId="0" applyNumberFormat="1" applyFont="1" applyFill="1" applyBorder="1" applyAlignment="1">
      <alignment horizontal="center" vertical="center"/>
    </xf>
    <xf numFmtId="0" fontId="0" fillId="0" borderId="7" xfId="0" applyFill="1" applyBorder="1" applyAlignment="1">
      <alignment horizontal="center" vertical="center" wrapText="1"/>
    </xf>
    <xf numFmtId="1" fontId="19" fillId="2" borderId="1" xfId="0" applyNumberFormat="1" applyFont="1" applyFill="1" applyBorder="1" applyAlignment="1">
      <alignment horizontal="center" vertical="center" wrapText="1"/>
    </xf>
    <xf numFmtId="1" fontId="19" fillId="2" borderId="14" xfId="0" applyNumberFormat="1" applyFont="1" applyFill="1" applyBorder="1" applyAlignment="1">
      <alignment horizontal="center" vertical="center" wrapText="1"/>
    </xf>
    <xf numFmtId="1" fontId="19" fillId="2" borderId="16" xfId="0" applyNumberFormat="1" applyFont="1" applyFill="1" applyBorder="1" applyAlignment="1">
      <alignment horizontal="center" vertical="center" wrapText="1"/>
    </xf>
    <xf numFmtId="1" fontId="19" fillId="2" borderId="22" xfId="0" applyNumberFormat="1"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50"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10" fillId="5" borderId="5" xfId="0" applyFont="1" applyFill="1" applyBorder="1" applyAlignment="1">
      <alignment horizontal="center" vertical="center" wrapText="1"/>
    </xf>
    <xf numFmtId="0" fontId="10" fillId="5" borderId="12" xfId="0" applyFont="1" applyFill="1" applyBorder="1" applyAlignment="1">
      <alignment horizontal="center" vertical="center" wrapText="1"/>
    </xf>
    <xf numFmtId="0" fontId="19" fillId="0" borderId="66" xfId="0" applyFont="1" applyBorder="1" applyAlignment="1">
      <alignment horizontal="center" vertical="center" wrapText="1"/>
    </xf>
    <xf numFmtId="0" fontId="19" fillId="0" borderId="43" xfId="0" applyFont="1" applyBorder="1" applyAlignment="1">
      <alignment horizontal="center" vertical="center" wrapText="1"/>
    </xf>
    <xf numFmtId="0" fontId="19" fillId="0" borderId="38" xfId="0" applyFont="1" applyBorder="1" applyAlignment="1">
      <alignment horizontal="center" vertical="center" wrapText="1"/>
    </xf>
    <xf numFmtId="0" fontId="0" fillId="0" borderId="3" xfId="0" applyBorder="1" applyAlignment="1">
      <alignment horizontal="center" wrapText="1"/>
    </xf>
    <xf numFmtId="0" fontId="0" fillId="0" borderId="50" xfId="0" applyBorder="1" applyAlignment="1">
      <alignment horizontal="center" wrapText="1"/>
    </xf>
    <xf numFmtId="0" fontId="0" fillId="0" borderId="9" xfId="0" applyBorder="1" applyAlignment="1">
      <alignment horizontal="center" wrapText="1"/>
    </xf>
    <xf numFmtId="0" fontId="19" fillId="0" borderId="21" xfId="0" applyFont="1" applyBorder="1" applyAlignment="1">
      <alignment horizontal="center" wrapText="1"/>
    </xf>
    <xf numFmtId="0" fontId="19" fillId="0" borderId="14" xfId="0" applyFont="1" applyBorder="1" applyAlignment="1">
      <alignment horizontal="center" wrapText="1"/>
    </xf>
    <xf numFmtId="0" fontId="10" fillId="0" borderId="45"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10" fillId="0" borderId="57" xfId="0" applyFont="1" applyFill="1" applyBorder="1" applyAlignment="1">
      <alignment horizontal="center" vertical="center" wrapText="1"/>
    </xf>
    <xf numFmtId="0" fontId="0" fillId="12" borderId="27" xfId="0" applyFill="1" applyBorder="1" applyAlignment="1" applyProtection="1">
      <alignment horizontal="center"/>
      <protection locked="0"/>
    </xf>
    <xf numFmtId="0" fontId="19" fillId="5" borderId="19" xfId="0" applyFont="1" applyFill="1" applyBorder="1" applyAlignment="1">
      <alignment horizontal="left" vertical="center" wrapText="1"/>
    </xf>
    <xf numFmtId="0" fontId="19" fillId="5" borderId="20" xfId="0" applyFont="1" applyFill="1" applyBorder="1" applyAlignment="1">
      <alignment horizontal="left" vertical="center" wrapText="1"/>
    </xf>
    <xf numFmtId="0" fontId="19" fillId="5" borderId="20" xfId="0" applyFont="1" applyFill="1" applyBorder="1" applyAlignment="1">
      <alignment horizontal="center" vertical="center" wrapText="1"/>
    </xf>
    <xf numFmtId="0" fontId="19" fillId="5" borderId="21" xfId="0" applyFont="1" applyFill="1" applyBorder="1" applyAlignment="1">
      <alignment horizontal="center" vertical="center" wrapText="1"/>
    </xf>
    <xf numFmtId="1" fontId="27" fillId="2" borderId="17" xfId="0" applyNumberFormat="1" applyFont="1" applyFill="1" applyBorder="1" applyAlignment="1">
      <alignment horizontal="center" vertical="center" wrapText="1"/>
    </xf>
    <xf numFmtId="1" fontId="27" fillId="2" borderId="18" xfId="0" applyNumberFormat="1" applyFont="1" applyFill="1" applyBorder="1" applyAlignment="1">
      <alignment horizontal="center" vertical="center" wrapText="1"/>
    </xf>
    <xf numFmtId="1" fontId="14" fillId="0" borderId="55" xfId="0" applyNumberFormat="1" applyFont="1" applyBorder="1" applyAlignment="1">
      <alignment horizontal="center" vertical="center"/>
    </xf>
    <xf numFmtId="1" fontId="0" fillId="2" borderId="1" xfId="0" applyNumberFormat="1" applyFont="1" applyFill="1" applyBorder="1" applyAlignment="1">
      <alignment horizontal="center"/>
    </xf>
    <xf numFmtId="1" fontId="0" fillId="2" borderId="14" xfId="0" applyNumberFormat="1" applyFont="1" applyFill="1" applyBorder="1" applyAlignment="1">
      <alignment horizontal="center"/>
    </xf>
    <xf numFmtId="1" fontId="0" fillId="0" borderId="1" xfId="0" applyNumberFormat="1" applyFont="1" applyFill="1" applyBorder="1" applyAlignment="1">
      <alignment horizontal="center"/>
    </xf>
    <xf numFmtId="1" fontId="0" fillId="0" borderId="14" xfId="0" applyNumberFormat="1" applyFont="1" applyFill="1" applyBorder="1" applyAlignment="1">
      <alignment horizontal="center"/>
    </xf>
    <xf numFmtId="1" fontId="0" fillId="2" borderId="47" xfId="0" applyNumberFormat="1" applyFont="1" applyFill="1" applyBorder="1" applyAlignment="1">
      <alignment horizontal="center"/>
    </xf>
    <xf numFmtId="0" fontId="3" fillId="0" borderId="37" xfId="0" applyFont="1" applyBorder="1" applyAlignment="1">
      <alignment horizontal="center" vertical="center"/>
    </xf>
    <xf numFmtId="1" fontId="7" fillId="0" borderId="36" xfId="0" applyNumberFormat="1" applyFont="1" applyBorder="1" applyAlignment="1">
      <alignment horizontal="center" vertical="center"/>
    </xf>
    <xf numFmtId="0" fontId="7" fillId="0" borderId="37" xfId="0" applyFont="1" applyBorder="1" applyAlignment="1">
      <alignment horizontal="center" vertical="center"/>
    </xf>
    <xf numFmtId="0" fontId="7" fillId="0" borderId="48" xfId="0" applyFont="1" applyBorder="1" applyAlignment="1">
      <alignment horizontal="center"/>
    </xf>
    <xf numFmtId="0" fontId="7" fillId="0" borderId="36" xfId="0" applyFont="1" applyBorder="1" applyAlignment="1">
      <alignment horizontal="center"/>
    </xf>
    <xf numFmtId="1" fontId="0" fillId="0" borderId="1" xfId="0" applyNumberFormat="1" applyBorder="1" applyAlignment="1">
      <alignment horizontal="center" vertical="center" wrapText="1"/>
    </xf>
    <xf numFmtId="1" fontId="0" fillId="0" borderId="29" xfId="0" applyNumberFormat="1" applyBorder="1" applyAlignment="1">
      <alignment horizontal="center" vertical="center" wrapText="1"/>
    </xf>
    <xf numFmtId="1" fontId="0" fillId="2" borderId="11" xfId="0" applyNumberFormat="1" applyFill="1" applyBorder="1" applyAlignment="1">
      <alignment horizontal="center" vertical="center"/>
    </xf>
    <xf numFmtId="1" fontId="0" fillId="2" borderId="7" xfId="0" applyNumberFormat="1" applyFill="1" applyBorder="1" applyAlignment="1">
      <alignment horizontal="center" vertical="center"/>
    </xf>
    <xf numFmtId="1" fontId="0" fillId="2" borderId="33" xfId="0" applyNumberFormat="1" applyFill="1" applyBorder="1" applyAlignment="1">
      <alignment horizontal="center" vertical="center"/>
    </xf>
    <xf numFmtId="1" fontId="0" fillId="2" borderId="28" xfId="0" applyNumberFormat="1" applyFill="1" applyBorder="1" applyAlignment="1">
      <alignment horizontal="center" vertical="center"/>
    </xf>
    <xf numFmtId="1" fontId="0" fillId="0" borderId="11" xfId="0" applyNumberFormat="1" applyFill="1" applyBorder="1" applyAlignment="1">
      <alignment horizontal="center" vertical="center"/>
    </xf>
    <xf numFmtId="1" fontId="0" fillId="0" borderId="7" xfId="0" applyNumberFormat="1" applyFill="1" applyBorder="1" applyAlignment="1">
      <alignment horizontal="center" vertical="center"/>
    </xf>
    <xf numFmtId="0" fontId="5" fillId="10" borderId="19" xfId="0" applyFont="1" applyFill="1" applyBorder="1" applyAlignment="1">
      <alignment horizontal="center" vertical="center"/>
    </xf>
    <xf numFmtId="0" fontId="5" fillId="10" borderId="20" xfId="0" applyFont="1" applyFill="1" applyBorder="1" applyAlignment="1">
      <alignment horizontal="center" vertical="center"/>
    </xf>
    <xf numFmtId="0" fontId="5" fillId="10" borderId="21" xfId="0" applyFont="1" applyFill="1" applyBorder="1" applyAlignment="1">
      <alignment horizontal="center" vertical="center"/>
    </xf>
    <xf numFmtId="0" fontId="5" fillId="10" borderId="13" xfId="0" applyFont="1" applyFill="1" applyBorder="1" applyAlignment="1">
      <alignment horizontal="center" vertical="center"/>
    </xf>
    <xf numFmtId="0" fontId="5" fillId="10" borderId="1" xfId="0" applyFont="1" applyFill="1" applyBorder="1" applyAlignment="1">
      <alignment horizontal="center" vertical="center"/>
    </xf>
    <xf numFmtId="0" fontId="5" fillId="10" borderId="14" xfId="0" applyFont="1" applyFill="1" applyBorder="1" applyAlignment="1">
      <alignment horizontal="center" vertical="center"/>
    </xf>
    <xf numFmtId="0" fontId="18" fillId="2" borderId="39" xfId="0" applyFont="1" applyFill="1" applyBorder="1" applyAlignment="1">
      <alignment horizontal="left" vertical="center" wrapText="1"/>
    </xf>
    <xf numFmtId="0" fontId="18" fillId="2" borderId="29" xfId="0" applyFont="1" applyFill="1" applyBorder="1" applyAlignment="1">
      <alignment horizontal="left" vertical="center" wrapText="1"/>
    </xf>
    <xf numFmtId="1" fontId="18" fillId="2" borderId="29" xfId="0" applyNumberFormat="1" applyFont="1" applyFill="1" applyBorder="1" applyAlignment="1">
      <alignment horizontal="center" vertical="center"/>
    </xf>
    <xf numFmtId="1" fontId="18" fillId="2" borderId="33" xfId="0" applyNumberFormat="1" applyFont="1" applyFill="1" applyBorder="1" applyAlignment="1">
      <alignment horizontal="center" vertical="center"/>
    </xf>
    <xf numFmtId="0" fontId="18" fillId="0" borderId="1" xfId="0" applyFont="1" applyFill="1" applyBorder="1" applyAlignment="1">
      <alignment horizontal="left" vertical="center" wrapText="1"/>
    </xf>
    <xf numFmtId="0" fontId="18" fillId="2" borderId="13" xfId="0" applyFont="1" applyFill="1" applyBorder="1" applyAlignment="1" applyProtection="1">
      <alignment horizontal="left" vertical="center" wrapText="1"/>
      <protection locked="0"/>
    </xf>
    <xf numFmtId="0" fontId="18" fillId="2" borderId="1" xfId="0" applyFont="1" applyFill="1" applyBorder="1" applyAlignment="1" applyProtection="1">
      <alignment horizontal="left" vertical="center" wrapText="1"/>
      <protection locked="0"/>
    </xf>
    <xf numFmtId="0" fontId="18" fillId="2" borderId="13" xfId="0" applyFont="1" applyFill="1" applyBorder="1" applyAlignment="1">
      <alignment horizontal="left" vertical="center" wrapText="1"/>
    </xf>
    <xf numFmtId="0" fontId="18" fillId="2" borderId="1" xfId="0" applyFont="1" applyFill="1" applyBorder="1" applyAlignment="1">
      <alignment horizontal="left" vertical="center" wrapText="1"/>
    </xf>
    <xf numFmtId="0" fontId="5" fillId="0" borderId="19" xfId="0" applyFont="1" applyFill="1" applyBorder="1" applyAlignment="1">
      <alignment horizontal="center"/>
    </xf>
    <xf numFmtId="0" fontId="5" fillId="0" borderId="20" xfId="0" applyFont="1" applyFill="1" applyBorder="1" applyAlignment="1">
      <alignment horizontal="center"/>
    </xf>
    <xf numFmtId="0" fontId="5" fillId="0" borderId="21" xfId="0" applyFont="1" applyFill="1" applyBorder="1" applyAlignment="1">
      <alignment horizontal="center"/>
    </xf>
    <xf numFmtId="1" fontId="11" fillId="2" borderId="47" xfId="0" applyNumberFormat="1" applyFont="1" applyFill="1" applyBorder="1" applyAlignment="1">
      <alignment horizontal="center" vertical="center" wrapText="1"/>
    </xf>
    <xf numFmtId="1" fontId="19" fillId="12" borderId="1" xfId="0" applyNumberFormat="1" applyFont="1" applyFill="1" applyBorder="1" applyAlignment="1">
      <alignment horizontal="center" vertical="center"/>
    </xf>
    <xf numFmtId="0" fontId="5" fillId="12" borderId="23" xfId="0" applyFont="1" applyFill="1" applyBorder="1" applyAlignment="1" applyProtection="1">
      <alignment horizontal="center" vertical="center"/>
      <protection locked="0"/>
    </xf>
    <xf numFmtId="0" fontId="5" fillId="12" borderId="0" xfId="0" applyFont="1" applyFill="1" applyBorder="1" applyAlignment="1" applyProtection="1">
      <alignment horizontal="center" vertical="center"/>
      <protection locked="0"/>
    </xf>
    <xf numFmtId="0" fontId="5" fillId="12" borderId="30" xfId="0" applyFont="1" applyFill="1" applyBorder="1" applyAlignment="1" applyProtection="1">
      <alignment horizontal="center" vertical="center"/>
      <protection locked="0"/>
    </xf>
    <xf numFmtId="0" fontId="5" fillId="12" borderId="56" xfId="0" applyFont="1" applyFill="1" applyBorder="1" applyAlignment="1" applyProtection="1">
      <alignment horizontal="center" vertical="center"/>
      <protection locked="0"/>
    </xf>
    <xf numFmtId="0" fontId="5" fillId="12" borderId="41" xfId="0" applyFont="1" applyFill="1" applyBorder="1" applyAlignment="1" applyProtection="1">
      <alignment horizontal="center" vertical="center"/>
      <protection locked="0"/>
    </xf>
    <xf numFmtId="0" fontId="5" fillId="12" borderId="42" xfId="0" applyFont="1" applyFill="1" applyBorder="1" applyAlignment="1" applyProtection="1">
      <alignment horizontal="center" vertical="center"/>
      <protection locked="0"/>
    </xf>
    <xf numFmtId="1" fontId="15" fillId="12" borderId="0" xfId="0" applyNumberFormat="1" applyFont="1" applyFill="1" applyBorder="1" applyAlignment="1" applyProtection="1">
      <alignment horizontal="center"/>
      <protection locked="0"/>
    </xf>
    <xf numFmtId="1" fontId="15" fillId="12" borderId="30" xfId="0" applyNumberFormat="1" applyFont="1" applyFill="1" applyBorder="1" applyAlignment="1" applyProtection="1">
      <alignment horizontal="center"/>
      <protection locked="0"/>
    </xf>
    <xf numFmtId="1" fontId="15" fillId="12" borderId="23" xfId="0" applyNumberFormat="1" applyFont="1" applyFill="1" applyBorder="1" applyAlignment="1" applyProtection="1">
      <alignment horizontal="center"/>
      <protection locked="0"/>
    </xf>
    <xf numFmtId="1" fontId="15" fillId="12" borderId="56" xfId="0" applyNumberFormat="1" applyFont="1" applyFill="1" applyBorder="1" applyAlignment="1" applyProtection="1">
      <alignment horizontal="center"/>
      <protection locked="0"/>
    </xf>
    <xf numFmtId="1" fontId="15" fillId="12" borderId="41" xfId="0" applyNumberFormat="1" applyFont="1" applyFill="1" applyBorder="1" applyAlignment="1" applyProtection="1">
      <alignment horizontal="center"/>
      <protection locked="0"/>
    </xf>
    <xf numFmtId="1" fontId="15" fillId="12" borderId="42" xfId="0" applyNumberFormat="1" applyFont="1" applyFill="1" applyBorder="1" applyAlignment="1" applyProtection="1">
      <alignment horizontal="center"/>
      <protection locked="0"/>
    </xf>
    <xf numFmtId="0" fontId="18" fillId="12" borderId="39" xfId="0" applyFont="1" applyFill="1" applyBorder="1" applyAlignment="1" applyProtection="1">
      <alignment horizontal="left" vertical="center" wrapText="1"/>
      <protection locked="0"/>
    </xf>
    <xf numFmtId="0" fontId="18" fillId="12" borderId="29" xfId="0" applyFont="1" applyFill="1" applyBorder="1" applyAlignment="1" applyProtection="1">
      <alignment horizontal="left" vertical="center" wrapText="1"/>
      <protection locked="0"/>
    </xf>
    <xf numFmtId="1" fontId="19" fillId="12" borderId="29" xfId="0" applyNumberFormat="1" applyFont="1" applyFill="1" applyBorder="1" applyAlignment="1">
      <alignment horizontal="center" vertical="center"/>
    </xf>
    <xf numFmtId="0" fontId="5" fillId="0" borderId="34" xfId="0" applyFont="1" applyBorder="1" applyAlignment="1">
      <alignment horizontal="center" wrapText="1"/>
    </xf>
    <xf numFmtId="0" fontId="5" fillId="0" borderId="35" xfId="0" applyFont="1" applyBorder="1" applyAlignment="1">
      <alignment horizontal="center" wrapText="1"/>
    </xf>
    <xf numFmtId="0" fontId="0" fillId="0" borderId="1" xfId="0" applyBorder="1" applyAlignment="1">
      <alignment horizontal="center" vertical="center"/>
    </xf>
    <xf numFmtId="0" fontId="0" fillId="0" borderId="14" xfId="0" applyBorder="1" applyAlignment="1">
      <alignment horizontal="center" vertical="center"/>
    </xf>
    <xf numFmtId="0" fontId="11" fillId="12" borderId="33" xfId="0" applyFont="1" applyFill="1" applyBorder="1" applyAlignment="1" applyProtection="1">
      <alignment horizontal="center" vertical="center"/>
      <protection locked="0"/>
    </xf>
    <xf numFmtId="0" fontId="11" fillId="12" borderId="27" xfId="0" applyFont="1" applyFill="1" applyBorder="1" applyAlignment="1" applyProtection="1">
      <alignment horizontal="center" vertical="center"/>
      <protection locked="0"/>
    </xf>
    <xf numFmtId="0" fontId="11" fillId="12" borderId="43" xfId="0" applyFont="1" applyFill="1" applyBorder="1" applyAlignment="1" applyProtection="1">
      <alignment horizontal="center" vertical="center"/>
      <protection locked="0"/>
    </xf>
    <xf numFmtId="0" fontId="11" fillId="12" borderId="0" xfId="0" applyFont="1" applyFill="1" applyBorder="1" applyAlignment="1" applyProtection="1">
      <alignment horizontal="center" vertical="center"/>
      <protection locked="0"/>
    </xf>
    <xf numFmtId="0" fontId="11" fillId="12" borderId="64" xfId="0" applyFont="1" applyFill="1" applyBorder="1" applyAlignment="1" applyProtection="1">
      <alignment horizontal="center" vertical="center"/>
      <protection locked="0"/>
    </xf>
    <xf numFmtId="0" fontId="11" fillId="12" borderId="41" xfId="0" applyFont="1" applyFill="1" applyBorder="1" applyAlignment="1" applyProtection="1">
      <alignment horizontal="center" vertical="center"/>
      <protection locked="0"/>
    </xf>
    <xf numFmtId="0" fontId="2" fillId="0" borderId="45" xfId="0" applyFont="1" applyBorder="1" applyAlignment="1">
      <alignment horizontal="center" vertical="center" wrapText="1"/>
    </xf>
    <xf numFmtId="0" fontId="2" fillId="0" borderId="0" xfId="0" applyFont="1" applyBorder="1" applyAlignment="1">
      <alignment horizontal="center" vertical="center" wrapText="1"/>
    </xf>
    <xf numFmtId="0" fontId="2" fillId="0" borderId="57" xfId="0" applyFont="1" applyBorder="1" applyAlignment="1">
      <alignment horizontal="center" vertical="center" wrapText="1"/>
    </xf>
    <xf numFmtId="0" fontId="0" fillId="0" borderId="5" xfId="0" applyFont="1" applyBorder="1" applyAlignment="1">
      <alignment horizontal="left" vertical="top" wrapText="1"/>
    </xf>
    <xf numFmtId="0" fontId="0" fillId="0" borderId="12" xfId="0" applyFont="1" applyBorder="1" applyAlignment="1">
      <alignment horizontal="left" vertical="top" wrapText="1"/>
    </xf>
    <xf numFmtId="0" fontId="9" fillId="5" borderId="24" xfId="0" applyFont="1" applyFill="1" applyBorder="1" applyAlignment="1">
      <alignment horizontal="center" wrapText="1"/>
    </xf>
    <xf numFmtId="0" fontId="9" fillId="5" borderId="25" xfId="0" applyFont="1" applyFill="1" applyBorder="1" applyAlignment="1">
      <alignment horizontal="center" wrapText="1"/>
    </xf>
    <xf numFmtId="0" fontId="0" fillId="12" borderId="15" xfId="0" applyFill="1" applyBorder="1" applyAlignment="1" applyProtection="1">
      <alignment horizontal="left"/>
      <protection locked="0"/>
    </xf>
    <xf numFmtId="0" fontId="0" fillId="12" borderId="16" xfId="0" applyFill="1" applyBorder="1" applyAlignment="1" applyProtection="1">
      <alignment horizontal="left"/>
      <protection locked="0"/>
    </xf>
    <xf numFmtId="0" fontId="0" fillId="12" borderId="16" xfId="0" applyFill="1" applyBorder="1" applyAlignment="1" applyProtection="1">
      <alignment horizontal="left" wrapText="1"/>
      <protection locked="0"/>
    </xf>
    <xf numFmtId="0" fontId="0" fillId="2" borderId="33" xfId="0" applyFill="1" applyBorder="1" applyAlignment="1">
      <alignment horizontal="center" vertical="center"/>
    </xf>
    <xf numFmtId="0" fontId="0" fillId="2" borderId="28" xfId="0" applyFill="1" applyBorder="1" applyAlignment="1">
      <alignment horizontal="center" vertical="center"/>
    </xf>
    <xf numFmtId="0" fontId="0" fillId="2" borderId="9" xfId="0" applyFill="1" applyBorder="1" applyAlignment="1">
      <alignment horizontal="center"/>
    </xf>
    <xf numFmtId="0" fontId="0" fillId="2" borderId="10" xfId="0" applyFill="1" applyBorder="1" applyAlignment="1">
      <alignment horizontal="center"/>
    </xf>
    <xf numFmtId="0" fontId="0" fillId="0" borderId="9" xfId="0" applyFill="1" applyBorder="1" applyAlignment="1">
      <alignment horizontal="center"/>
    </xf>
    <xf numFmtId="0" fontId="0" fillId="0" borderId="10" xfId="0" applyFill="1" applyBorder="1" applyAlignment="1">
      <alignment horizontal="center"/>
    </xf>
    <xf numFmtId="0" fontId="0" fillId="2" borderId="1" xfId="0" applyFill="1" applyBorder="1" applyAlignment="1">
      <alignment horizontal="center"/>
    </xf>
    <xf numFmtId="0" fontId="0" fillId="2" borderId="14" xfId="0" applyFill="1" applyBorder="1" applyAlignment="1">
      <alignment horizontal="center"/>
    </xf>
    <xf numFmtId="0" fontId="0" fillId="0" borderId="38" xfId="0" applyBorder="1" applyAlignment="1">
      <alignment horizontal="left"/>
    </xf>
    <xf numFmtId="0" fontId="6" fillId="2" borderId="0" xfId="0" applyFont="1" applyFill="1" applyAlignment="1" applyProtection="1">
      <alignment horizontal="center"/>
      <protection locked="0"/>
    </xf>
    <xf numFmtId="0" fontId="0" fillId="2" borderId="31" xfId="0" applyFill="1" applyBorder="1" applyAlignment="1">
      <alignment horizontal="center" vertical="center" wrapText="1"/>
    </xf>
    <xf numFmtId="0" fontId="2" fillId="8" borderId="34" xfId="0" applyFont="1" applyFill="1" applyBorder="1" applyAlignment="1">
      <alignment horizontal="center" vertical="center" wrapText="1"/>
    </xf>
    <xf numFmtId="0" fontId="2" fillId="8" borderId="54" xfId="0" applyFont="1" applyFill="1" applyBorder="1" applyAlignment="1">
      <alignment horizontal="center" vertical="center" wrapText="1"/>
    </xf>
    <xf numFmtId="0" fontId="2" fillId="8" borderId="55" xfId="0" applyFont="1" applyFill="1" applyBorder="1" applyAlignment="1">
      <alignment horizontal="center" vertical="center" wrapText="1"/>
    </xf>
    <xf numFmtId="0" fontId="0" fillId="2" borderId="5" xfId="0" applyFill="1" applyBorder="1" applyAlignment="1">
      <alignment horizontal="center" vertical="center" wrapText="1"/>
    </xf>
    <xf numFmtId="0" fontId="0" fillId="2" borderId="6" xfId="0" applyFill="1" applyBorder="1" applyAlignment="1">
      <alignment horizontal="center" vertical="center" wrapText="1"/>
    </xf>
    <xf numFmtId="0" fontId="0" fillId="2" borderId="7" xfId="0" applyFill="1" applyBorder="1" applyAlignment="1">
      <alignment horizontal="center" vertical="center" wrapText="1"/>
    </xf>
    <xf numFmtId="0" fontId="5" fillId="9" borderId="26" xfId="0" applyFont="1" applyFill="1" applyBorder="1" applyAlignment="1">
      <alignment horizontal="left"/>
    </xf>
    <xf numFmtId="0" fontId="0" fillId="12" borderId="31" xfId="0" applyFill="1" applyBorder="1" applyAlignment="1" applyProtection="1">
      <alignment horizontal="center"/>
      <protection locked="0"/>
    </xf>
    <xf numFmtId="0" fontId="0" fillId="12" borderId="28" xfId="0" applyFill="1" applyBorder="1" applyAlignment="1" applyProtection="1">
      <alignment horizontal="center"/>
      <protection locked="0"/>
    </xf>
    <xf numFmtId="0" fontId="13" fillId="0" borderId="11" xfId="0" applyFont="1" applyFill="1" applyBorder="1" applyAlignment="1">
      <alignment horizontal="center" vertical="center" wrapText="1"/>
    </xf>
    <xf numFmtId="0" fontId="13" fillId="0" borderId="12" xfId="0" applyFont="1" applyFill="1" applyBorder="1" applyAlignment="1">
      <alignment horizontal="center" vertical="center" wrapText="1"/>
    </xf>
    <xf numFmtId="0" fontId="0" fillId="5" borderId="1" xfId="0" applyFill="1" applyBorder="1" applyAlignment="1">
      <alignment horizontal="center"/>
    </xf>
    <xf numFmtId="1" fontId="0" fillId="13" borderId="1" xfId="0" applyNumberFormat="1" applyFill="1" applyBorder="1" applyAlignment="1">
      <alignment horizontal="center"/>
    </xf>
    <xf numFmtId="1" fontId="2" fillId="0" borderId="16" xfId="0" applyNumberFormat="1" applyFont="1" applyBorder="1" applyAlignment="1">
      <alignment horizontal="center"/>
    </xf>
    <xf numFmtId="1" fontId="27" fillId="13" borderId="1" xfId="0" applyNumberFormat="1" applyFont="1" applyFill="1" applyBorder="1" applyAlignment="1">
      <alignment horizontal="center" vertical="center" wrapText="1"/>
    </xf>
    <xf numFmtId="1" fontId="27" fillId="13" borderId="14" xfId="0" applyNumberFormat="1" applyFont="1" applyFill="1" applyBorder="1" applyAlignment="1">
      <alignment horizontal="center" vertical="center" wrapText="1"/>
    </xf>
    <xf numFmtId="0" fontId="5" fillId="0" borderId="23"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30" xfId="0" applyFont="1" applyFill="1" applyBorder="1" applyAlignment="1">
      <alignment horizontal="center" vertical="center"/>
    </xf>
    <xf numFmtId="1" fontId="11" fillId="0" borderId="16" xfId="0" applyNumberFormat="1" applyFont="1" applyFill="1" applyBorder="1" applyAlignment="1">
      <alignment horizontal="center" vertical="center" wrapText="1"/>
    </xf>
    <xf numFmtId="1" fontId="11" fillId="0" borderId="22" xfId="0" applyNumberFormat="1" applyFont="1" applyFill="1" applyBorder="1" applyAlignment="1">
      <alignment horizontal="center" vertical="center" wrapText="1"/>
    </xf>
    <xf numFmtId="1" fontId="10" fillId="5" borderId="11" xfId="0" applyNumberFormat="1" applyFont="1" applyFill="1" applyBorder="1" applyAlignment="1">
      <alignment horizontal="center" vertical="center" wrapText="1"/>
    </xf>
    <xf numFmtId="0" fontId="12" fillId="12" borderId="23" xfId="0" applyFont="1" applyFill="1" applyBorder="1" applyAlignment="1" applyProtection="1">
      <alignment horizontal="center" vertical="center"/>
      <protection locked="0"/>
    </xf>
    <xf numFmtId="0" fontId="12" fillId="12" borderId="0" xfId="0" applyFont="1" applyFill="1" applyBorder="1" applyAlignment="1" applyProtection="1">
      <alignment horizontal="center" vertical="center"/>
      <protection locked="0"/>
    </xf>
    <xf numFmtId="0" fontId="12" fillId="12" borderId="30" xfId="0" applyFont="1" applyFill="1" applyBorder="1" applyAlignment="1" applyProtection="1">
      <alignment horizontal="center" vertical="center"/>
      <protection locked="0"/>
    </xf>
    <xf numFmtId="0" fontId="12" fillId="12" borderId="56" xfId="0" applyFont="1" applyFill="1" applyBorder="1" applyAlignment="1" applyProtection="1">
      <alignment horizontal="center" vertical="center"/>
      <protection locked="0"/>
    </xf>
    <xf numFmtId="0" fontId="12" fillId="12" borderId="41" xfId="0" applyFont="1" applyFill="1" applyBorder="1" applyAlignment="1" applyProtection="1">
      <alignment horizontal="center" vertical="center"/>
      <protection locked="0"/>
    </xf>
    <xf numFmtId="0" fontId="12" fillId="12" borderId="42" xfId="0" applyFont="1" applyFill="1" applyBorder="1" applyAlignment="1" applyProtection="1">
      <alignment horizontal="center" vertical="center"/>
      <protection locked="0"/>
    </xf>
    <xf numFmtId="0" fontId="0" fillId="2" borderId="11" xfId="0" applyFill="1" applyBorder="1" applyAlignment="1">
      <alignment horizontal="center" vertical="center"/>
    </xf>
    <xf numFmtId="0" fontId="0" fillId="2" borderId="12" xfId="0" applyFill="1" applyBorder="1" applyAlignment="1">
      <alignment horizontal="center" vertical="center"/>
    </xf>
    <xf numFmtId="0" fontId="0" fillId="0" borderId="37" xfId="0" applyBorder="1" applyAlignment="1">
      <alignment horizontal="center" vertical="center" wrapText="1"/>
    </xf>
    <xf numFmtId="0" fontId="5" fillId="9" borderId="53" xfId="0" applyFont="1" applyFill="1" applyBorder="1" applyAlignment="1">
      <alignment horizontal="left" wrapText="1"/>
    </xf>
    <xf numFmtId="0" fontId="5" fillId="9" borderId="25" xfId="0" applyFont="1" applyFill="1" applyBorder="1" applyAlignment="1">
      <alignment horizontal="left" wrapText="1"/>
    </xf>
    <xf numFmtId="0" fontId="5" fillId="10" borderId="53" xfId="0" applyFont="1" applyFill="1" applyBorder="1" applyAlignment="1">
      <alignment horizontal="center" vertical="center"/>
    </xf>
    <xf numFmtId="0" fontId="5" fillId="10" borderId="25" xfId="0" applyFont="1" applyFill="1" applyBorder="1" applyAlignment="1">
      <alignment horizontal="center" vertical="center"/>
    </xf>
    <xf numFmtId="0" fontId="5" fillId="10" borderId="26" xfId="0" applyFont="1" applyFill="1" applyBorder="1" applyAlignment="1">
      <alignment horizontal="center" vertical="center"/>
    </xf>
    <xf numFmtId="0" fontId="4" fillId="0" borderId="31"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68" xfId="0" applyFont="1" applyBorder="1" applyAlignment="1">
      <alignment horizontal="center" vertical="center" wrapText="1"/>
    </xf>
    <xf numFmtId="0" fontId="4" fillId="0" borderId="57" xfId="0" applyFont="1" applyBorder="1" applyAlignment="1">
      <alignment horizontal="center" vertical="center" wrapText="1"/>
    </xf>
    <xf numFmtId="0" fontId="4" fillId="0" borderId="58" xfId="0" applyFont="1" applyBorder="1" applyAlignment="1">
      <alignment horizontal="center" vertical="center" wrapText="1"/>
    </xf>
    <xf numFmtId="1" fontId="17" fillId="0" borderId="38" xfId="0" applyNumberFormat="1" applyFont="1" applyFill="1" applyBorder="1" applyAlignment="1">
      <alignment horizontal="center" vertical="center" wrapText="1"/>
    </xf>
    <xf numFmtId="9" fontId="0" fillId="2" borderId="1" xfId="1" applyFont="1" applyFill="1" applyBorder="1" applyAlignment="1" applyProtection="1">
      <alignment horizontal="center" vertical="center"/>
      <protection locked="0"/>
    </xf>
    <xf numFmtId="9" fontId="0" fillId="2" borderId="11" xfId="1" applyFont="1" applyFill="1" applyBorder="1" applyAlignment="1" applyProtection="1">
      <alignment horizontal="center" vertical="center"/>
      <protection locked="0"/>
    </xf>
    <xf numFmtId="0" fontId="18" fillId="2" borderId="5" xfId="0" applyFont="1" applyFill="1" applyBorder="1" applyAlignment="1">
      <alignment horizontal="left" vertical="center" wrapText="1"/>
    </xf>
    <xf numFmtId="0" fontId="18" fillId="2" borderId="12" xfId="0" applyFont="1" applyFill="1" applyBorder="1" applyAlignment="1">
      <alignment horizontal="left" vertical="center" wrapText="1"/>
    </xf>
    <xf numFmtId="0" fontId="16" fillId="0" borderId="5" xfId="0" applyFont="1" applyBorder="1" applyAlignment="1">
      <alignment horizontal="left" vertical="center" wrapText="1"/>
    </xf>
    <xf numFmtId="0" fontId="16" fillId="0" borderId="12" xfId="0" applyFont="1" applyBorder="1" applyAlignment="1">
      <alignment horizontal="left" vertical="center" wrapText="1"/>
    </xf>
    <xf numFmtId="0" fontId="9" fillId="10" borderId="0" xfId="0" applyFont="1" applyFill="1" applyBorder="1" applyAlignment="1">
      <alignment horizontal="center" vertical="center"/>
    </xf>
    <xf numFmtId="0" fontId="33" fillId="0" borderId="65" xfId="0" applyFont="1" applyBorder="1" applyAlignment="1">
      <alignment horizontal="center" vertical="center" wrapText="1"/>
    </xf>
    <xf numFmtId="0" fontId="33" fillId="0" borderId="20" xfId="0" applyFont="1" applyBorder="1" applyAlignment="1">
      <alignment horizontal="center" vertical="center" wrapText="1"/>
    </xf>
    <xf numFmtId="0" fontId="33" fillId="0" borderId="21" xfId="0" applyFont="1" applyBorder="1" applyAlignment="1">
      <alignment horizontal="center" vertical="center" wrapText="1"/>
    </xf>
    <xf numFmtId="0" fontId="0" fillId="0" borderId="24" xfId="0" applyFill="1" applyBorder="1" applyAlignment="1">
      <alignment horizontal="center" vertical="center"/>
    </xf>
    <xf numFmtId="0" fontId="0" fillId="0" borderId="25" xfId="0" applyFill="1" applyBorder="1" applyAlignment="1">
      <alignment horizontal="center" vertical="center"/>
    </xf>
    <xf numFmtId="0" fontId="0" fillId="0" borderId="26" xfId="0" applyFill="1" applyBorder="1" applyAlignment="1">
      <alignment horizontal="center" vertical="center"/>
    </xf>
    <xf numFmtId="0" fontId="0" fillId="0" borderId="65" xfId="0" applyFill="1" applyBorder="1" applyAlignment="1">
      <alignment horizontal="center" vertical="center"/>
    </xf>
    <xf numFmtId="0" fontId="0" fillId="0" borderId="44" xfId="0" applyBorder="1" applyAlignment="1">
      <alignment horizontal="center" vertical="center"/>
    </xf>
    <xf numFmtId="0" fontId="0" fillId="0" borderId="45" xfId="0" applyBorder="1" applyAlignment="1">
      <alignment horizontal="center" vertical="center"/>
    </xf>
    <xf numFmtId="0" fontId="0" fillId="0" borderId="49" xfId="0" applyBorder="1" applyAlignment="1">
      <alignment horizontal="center" vertical="center"/>
    </xf>
    <xf numFmtId="0" fontId="0" fillId="0" borderId="68" xfId="0" applyBorder="1" applyAlignment="1">
      <alignment horizontal="center" vertical="center"/>
    </xf>
    <xf numFmtId="0" fontId="0" fillId="0" borderId="57" xfId="0" applyBorder="1" applyAlignment="1">
      <alignment horizontal="center" vertical="center"/>
    </xf>
    <xf numFmtId="0" fontId="0" fillId="0" borderId="52" xfId="0" applyBorder="1" applyAlignment="1">
      <alignment horizontal="center" vertical="center"/>
    </xf>
    <xf numFmtId="0" fontId="53" fillId="0" borderId="78" xfId="0" applyFont="1" applyBorder="1" applyAlignment="1">
      <alignment horizontal="center" vertical="center" wrapText="1"/>
    </xf>
    <xf numFmtId="0" fontId="53" fillId="0" borderId="76" xfId="0" applyFont="1" applyBorder="1" applyAlignment="1">
      <alignment horizontal="center" vertical="center" wrapText="1"/>
    </xf>
    <xf numFmtId="0" fontId="53" fillId="0" borderId="75" xfId="0" applyFont="1" applyBorder="1" applyAlignment="1">
      <alignment horizontal="center" vertical="center" wrapText="1"/>
    </xf>
    <xf numFmtId="0" fontId="53" fillId="0" borderId="78" xfId="0" applyFont="1" applyBorder="1" applyAlignment="1">
      <alignment horizontal="right" vertical="center" wrapText="1"/>
    </xf>
    <xf numFmtId="0" fontId="53" fillId="0" borderId="76" xfId="0" applyFont="1" applyBorder="1" applyAlignment="1">
      <alignment horizontal="right" vertical="center" wrapText="1"/>
    </xf>
    <xf numFmtId="0" fontId="53" fillId="0" borderId="75" xfId="0" applyFont="1" applyBorder="1" applyAlignment="1">
      <alignment horizontal="right" vertical="center" wrapText="1"/>
    </xf>
    <xf numFmtId="0" fontId="53" fillId="0" borderId="78" xfId="0" applyFont="1" applyBorder="1" applyAlignment="1">
      <alignment vertical="center" wrapText="1"/>
    </xf>
    <xf numFmtId="0" fontId="53" fillId="0" borderId="75" xfId="0" applyFont="1" applyBorder="1" applyAlignment="1">
      <alignment vertical="center" wrapText="1"/>
    </xf>
    <xf numFmtId="0" fontId="57" fillId="0" borderId="72" xfId="0" applyFont="1" applyBorder="1" applyAlignment="1">
      <alignment horizontal="justify" vertical="center" wrapText="1"/>
    </xf>
    <xf numFmtId="0" fontId="57" fillId="0" borderId="71" xfId="0" applyFont="1" applyBorder="1" applyAlignment="1">
      <alignment horizontal="justify" vertical="center" wrapText="1"/>
    </xf>
    <xf numFmtId="0" fontId="57" fillId="0" borderId="0" xfId="0" applyFont="1" applyAlignment="1">
      <alignment horizontal="center" vertical="center"/>
    </xf>
    <xf numFmtId="0" fontId="33" fillId="0" borderId="0" xfId="0" applyFont="1" applyAlignment="1">
      <alignment horizontal="center"/>
    </xf>
    <xf numFmtId="0" fontId="33" fillId="0" borderId="0" xfId="0" applyFont="1" applyBorder="1" applyAlignment="1">
      <alignment horizontal="center"/>
    </xf>
    <xf numFmtId="0" fontId="24" fillId="0" borderId="14" xfId="0" applyFont="1" applyBorder="1" applyAlignment="1">
      <alignment horizontal="center" vertical="center" wrapText="1"/>
    </xf>
    <xf numFmtId="0" fontId="24" fillId="0" borderId="22" xfId="0" applyFont="1" applyBorder="1" applyAlignment="1">
      <alignment horizontal="center" vertical="center" wrapText="1"/>
    </xf>
    <xf numFmtId="0" fontId="24" fillId="0" borderId="12" xfId="0" applyFont="1" applyBorder="1" applyAlignment="1">
      <alignment horizontal="center" vertical="center" wrapText="1"/>
    </xf>
    <xf numFmtId="0" fontId="24" fillId="0" borderId="51" xfId="0" applyFont="1" applyBorder="1" applyAlignment="1">
      <alignment horizontal="center" vertical="center" wrapText="1"/>
    </xf>
    <xf numFmtId="0" fontId="24" fillId="0" borderId="1" xfId="0" applyFont="1" applyBorder="1" applyAlignment="1">
      <alignment horizontal="center" vertical="center" wrapText="1"/>
    </xf>
    <xf numFmtId="0" fontId="24" fillId="0" borderId="16" xfId="0" applyFont="1" applyBorder="1" applyAlignment="1">
      <alignment horizontal="center" vertical="center" wrapText="1"/>
    </xf>
    <xf numFmtId="0" fontId="24" fillId="0" borderId="13" xfId="0" applyFont="1" applyBorder="1" applyAlignment="1">
      <alignment horizontal="center" vertical="center" wrapText="1"/>
    </xf>
    <xf numFmtId="0" fontId="24" fillId="0" borderId="15" xfId="0" applyFont="1" applyBorder="1" applyAlignment="1">
      <alignment horizontal="center" vertical="center" wrapText="1"/>
    </xf>
    <xf numFmtId="0" fontId="64" fillId="13" borderId="19" xfId="0" applyFont="1" applyFill="1" applyBorder="1" applyAlignment="1">
      <alignment horizontal="center" vertical="center"/>
    </xf>
    <xf numFmtId="0" fontId="64" fillId="13" borderId="20" xfId="0" applyFont="1" applyFill="1" applyBorder="1" applyAlignment="1">
      <alignment horizontal="center" vertical="center"/>
    </xf>
    <xf numFmtId="0" fontId="64" fillId="13" borderId="21" xfId="0" applyFont="1" applyFill="1" applyBorder="1" applyAlignment="1">
      <alignment horizontal="center" vertical="center"/>
    </xf>
    <xf numFmtId="0" fontId="63" fillId="13" borderId="65" xfId="0" applyFont="1" applyFill="1" applyBorder="1" applyAlignment="1">
      <alignment horizontal="left" vertical="center"/>
    </xf>
    <xf numFmtId="0" fontId="63" fillId="13" borderId="20" xfId="0" applyFont="1" applyFill="1" applyBorder="1" applyAlignment="1">
      <alignment horizontal="left" vertical="center"/>
    </xf>
    <xf numFmtId="0" fontId="63" fillId="13" borderId="24" xfId="0" applyFont="1" applyFill="1" applyBorder="1" applyAlignment="1">
      <alignment horizontal="left" vertical="center"/>
    </xf>
    <xf numFmtId="0" fontId="65" fillId="13" borderId="19" xfId="0" applyFont="1" applyFill="1" applyBorder="1" applyAlignment="1">
      <alignment horizontal="left" vertical="center"/>
    </xf>
    <xf numFmtId="0" fontId="65" fillId="13" borderId="20" xfId="0" applyFont="1" applyFill="1" applyBorder="1" applyAlignment="1">
      <alignment horizontal="left" vertical="center"/>
    </xf>
    <xf numFmtId="0" fontId="65" fillId="13" borderId="21" xfId="0" applyFont="1" applyFill="1" applyBorder="1" applyAlignment="1">
      <alignment horizontal="left" vertical="center"/>
    </xf>
    <xf numFmtId="0" fontId="24" fillId="0" borderId="11" xfId="0" applyFont="1" applyBorder="1" applyAlignment="1">
      <alignment horizontal="center" vertical="center" wrapText="1"/>
    </xf>
    <xf numFmtId="0" fontId="24" fillId="0" borderId="17" xfId="0" applyFont="1" applyBorder="1" applyAlignment="1">
      <alignment horizontal="center" vertical="center" wrapText="1"/>
    </xf>
    <xf numFmtId="2" fontId="34" fillId="0" borderId="0" xfId="0" applyNumberFormat="1" applyFont="1" applyFill="1" applyBorder="1" applyAlignment="1" applyProtection="1">
      <alignment horizontal="center" vertical="top" wrapText="1"/>
    </xf>
    <xf numFmtId="2" fontId="69" fillId="13" borderId="0" xfId="0" applyNumberFormat="1" applyFont="1" applyFill="1" applyBorder="1" applyAlignment="1" applyProtection="1">
      <alignment horizontal="center" vertical="top" wrapText="1"/>
    </xf>
    <xf numFmtId="2" fontId="68" fillId="13" borderId="1" xfId="0" applyNumberFormat="1" applyFont="1" applyFill="1" applyBorder="1" applyAlignment="1" applyProtection="1">
      <alignment horizontal="center" vertical="center" wrapText="1"/>
    </xf>
    <xf numFmtId="2" fontId="68" fillId="13" borderId="11" xfId="0" applyNumberFormat="1" applyFont="1" applyFill="1" applyBorder="1" applyAlignment="1" applyProtection="1">
      <alignment horizontal="center" vertical="center" wrapText="1"/>
    </xf>
    <xf numFmtId="2" fontId="68" fillId="13" borderId="6" xfId="0" applyNumberFormat="1" applyFont="1" applyFill="1" applyBorder="1" applyAlignment="1" applyProtection="1">
      <alignment horizontal="center" vertical="center" wrapText="1"/>
    </xf>
    <xf numFmtId="2" fontId="68" fillId="13" borderId="12" xfId="0" applyNumberFormat="1" applyFont="1" applyFill="1" applyBorder="1" applyAlignment="1" applyProtection="1">
      <alignment horizontal="center" vertical="center" wrapText="1"/>
    </xf>
    <xf numFmtId="2" fontId="36" fillId="0" borderId="1" xfId="0" applyNumberFormat="1" applyFont="1" applyFill="1" applyBorder="1" applyAlignment="1" applyProtection="1">
      <alignment horizontal="center" vertical="top" wrapText="1"/>
    </xf>
    <xf numFmtId="2" fontId="66" fillId="13" borderId="1" xfId="0" applyNumberFormat="1" applyFont="1" applyFill="1" applyBorder="1" applyAlignment="1" applyProtection="1">
      <alignment horizontal="left" vertical="center" wrapText="1"/>
    </xf>
    <xf numFmtId="2" fontId="67" fillId="13" borderId="29" xfId="0" applyNumberFormat="1" applyFont="1" applyFill="1" applyBorder="1" applyAlignment="1" applyProtection="1">
      <alignment horizontal="center" vertical="center" wrapText="1"/>
    </xf>
    <xf numFmtId="2" fontId="67" fillId="13" borderId="50" xfId="0" applyNumberFormat="1" applyFont="1" applyFill="1" applyBorder="1" applyAlignment="1" applyProtection="1">
      <alignment horizontal="center" vertical="center" wrapText="1"/>
    </xf>
    <xf numFmtId="2" fontId="67" fillId="13" borderId="9" xfId="0" applyNumberFormat="1" applyFont="1" applyFill="1" applyBorder="1" applyAlignment="1" applyProtection="1">
      <alignment horizontal="center" vertical="center" wrapText="1"/>
    </xf>
    <xf numFmtId="1" fontId="35" fillId="0" borderId="0" xfId="0" applyNumberFormat="1" applyFont="1" applyFill="1" applyBorder="1" applyAlignment="1" applyProtection="1">
      <alignment horizontal="center" vertical="top" wrapText="1"/>
    </xf>
    <xf numFmtId="0" fontId="0" fillId="0" borderId="1" xfId="0" applyBorder="1" applyAlignment="1">
      <alignment horizontal="center"/>
    </xf>
    <xf numFmtId="0" fontId="0" fillId="0" borderId="0" xfId="0" applyAlignment="1">
      <alignment horizontal="left" wrapText="1"/>
    </xf>
    <xf numFmtId="0" fontId="0" fillId="0" borderId="57" xfId="0" applyBorder="1" applyAlignment="1">
      <alignment horizontal="center"/>
    </xf>
    <xf numFmtId="0" fontId="37" fillId="0" borderId="1" xfId="0" applyFont="1" applyBorder="1" applyAlignment="1">
      <alignment vertical="center" wrapText="1"/>
    </xf>
    <xf numFmtId="0" fontId="37" fillId="0" borderId="33" xfId="0" applyFont="1" applyBorder="1" applyAlignment="1">
      <alignment horizontal="center" vertical="center" wrapText="1"/>
    </xf>
    <xf numFmtId="0" fontId="37" fillId="0" borderId="27" xfId="0" applyFont="1" applyBorder="1" applyAlignment="1">
      <alignment horizontal="center" vertical="center" wrapText="1"/>
    </xf>
    <xf numFmtId="0" fontId="37" fillId="0" borderId="32" xfId="0" applyFont="1" applyBorder="1" applyAlignment="1">
      <alignment horizontal="center" vertical="center" wrapText="1"/>
    </xf>
    <xf numFmtId="0" fontId="37" fillId="0" borderId="38" xfId="0" applyFont="1" applyBorder="1" applyAlignment="1">
      <alignment horizontal="center" vertical="center" wrapText="1"/>
    </xf>
    <xf numFmtId="0" fontId="37" fillId="0" borderId="57" xfId="0" applyFont="1" applyBorder="1" applyAlignment="1">
      <alignment horizontal="center" vertical="center" wrapText="1"/>
    </xf>
    <xf numFmtId="0" fontId="37" fillId="0" borderId="52" xfId="0" applyFont="1" applyBorder="1" applyAlignment="1">
      <alignment horizontal="center" vertical="center" wrapText="1"/>
    </xf>
    <xf numFmtId="0" fontId="37" fillId="0" borderId="1" xfId="0" applyFont="1" applyBorder="1" applyAlignment="1">
      <alignment horizontal="center" vertical="center" wrapText="1"/>
    </xf>
    <xf numFmtId="0" fontId="37" fillId="0" borderId="1" xfId="0" applyFont="1" applyBorder="1" applyAlignment="1">
      <alignment horizontal="right" vertical="center" wrapText="1"/>
    </xf>
    <xf numFmtId="0" fontId="37" fillId="0" borderId="11" xfId="0" applyFont="1" applyBorder="1" applyAlignment="1">
      <alignment horizontal="center" vertical="center" wrapText="1"/>
    </xf>
    <xf numFmtId="0" fontId="37" fillId="0" borderId="6" xfId="0" applyFont="1" applyBorder="1" applyAlignment="1">
      <alignment horizontal="center" vertical="center" wrapText="1"/>
    </xf>
    <xf numFmtId="0" fontId="37" fillId="0" borderId="12" xfId="0" applyFont="1" applyBorder="1" applyAlignment="1">
      <alignment horizontal="center" vertical="center" wrapText="1"/>
    </xf>
    <xf numFmtId="0" fontId="30" fillId="14" borderId="0" xfId="0" applyFont="1" applyFill="1" applyBorder="1" applyAlignment="1">
      <alignment horizontal="left" vertical="center" wrapText="1"/>
    </xf>
    <xf numFmtId="0" fontId="30" fillId="0" borderId="0" xfId="0" applyFont="1" applyFill="1" applyBorder="1" applyAlignment="1">
      <alignment horizontal="left" vertical="center" wrapText="1"/>
    </xf>
    <xf numFmtId="0" fontId="35" fillId="0" borderId="0" xfId="0" applyFont="1" applyFill="1" applyBorder="1" applyAlignment="1">
      <alignment horizontal="center" vertical="center" wrapText="1"/>
    </xf>
    <xf numFmtId="0" fontId="72" fillId="15" borderId="44" xfId="0" applyFont="1" applyFill="1" applyBorder="1" applyAlignment="1">
      <alignment vertical="center"/>
    </xf>
    <xf numFmtId="0" fontId="73" fillId="15" borderId="46" xfId="0" applyFont="1" applyFill="1" applyBorder="1" applyAlignment="1">
      <alignment vertical="center" wrapText="1"/>
    </xf>
    <xf numFmtId="0" fontId="74" fillId="0" borderId="70" xfId="0" applyFont="1" applyBorder="1" applyAlignment="1">
      <alignment horizontal="center" vertical="center"/>
    </xf>
    <xf numFmtId="0" fontId="74" fillId="0" borderId="55" xfId="0" applyFont="1" applyBorder="1" applyAlignment="1">
      <alignment vertical="center" wrapText="1"/>
    </xf>
    <xf numFmtId="0" fontId="74" fillId="0" borderId="71" xfId="0" applyFont="1" applyBorder="1" applyAlignment="1">
      <alignment horizontal="center" vertical="center"/>
    </xf>
    <xf numFmtId="0" fontId="74" fillId="0" borderId="42" xfId="0" applyFont="1" applyBorder="1" applyAlignment="1">
      <alignment vertical="center" wrapText="1"/>
    </xf>
    <xf numFmtId="0" fontId="74" fillId="0" borderId="79" xfId="0" applyFont="1" applyBorder="1" applyAlignment="1">
      <alignment horizontal="center" vertical="center"/>
    </xf>
    <xf numFmtId="0" fontId="74" fillId="0" borderId="30" xfId="0" applyFont="1" applyBorder="1" applyAlignment="1">
      <alignment vertical="center" wrapText="1"/>
    </xf>
    <xf numFmtId="0" fontId="71" fillId="0" borderId="42" xfId="0" applyFont="1" applyBorder="1" applyAlignment="1">
      <alignment vertical="center" wrapText="1"/>
    </xf>
    <xf numFmtId="0" fontId="75" fillId="16" borderId="42" xfId="0" applyFont="1" applyFill="1" applyBorder="1" applyAlignment="1">
      <alignment vertical="center" wrapText="1"/>
    </xf>
    <xf numFmtId="0" fontId="71" fillId="16" borderId="42" xfId="0" applyFont="1" applyFill="1" applyBorder="1" applyAlignment="1">
      <alignment vertical="center" wrapText="1"/>
    </xf>
    <xf numFmtId="0" fontId="0" fillId="0" borderId="0" xfId="0" applyAlignment="1">
      <alignment vertical="center"/>
    </xf>
    <xf numFmtId="0" fontId="78" fillId="0" borderId="0" xfId="0" applyFont="1" applyAlignment="1">
      <alignment vertical="center"/>
    </xf>
  </cellXfs>
  <cellStyles count="4">
    <cellStyle name="Normal" xfId="0" builtinId="0"/>
    <cellStyle name="Normal 3" xfId="2"/>
    <cellStyle name="Normal_medical colleg5" xfId="3"/>
    <cellStyle name="Percent" xfId="1" builtinId="5"/>
  </cellStyles>
  <dxfs count="170">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i/>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ill>
        <patternFill>
          <bgColor rgb="FFFF0000"/>
        </patternFill>
      </fill>
    </dxf>
    <dxf>
      <font>
        <b/>
        <i/>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DR.MANOJ/AppData/Local/Microsoft/Windows/Temporary%20Internet%20Files/Content.Outlook/5D5OUMUZ/Jharkhand%20State%20%20District%20Annual%20Action%20Plan-Compilation%20Imran%20-%20150320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4"/>
  <sheetViews>
    <sheetView tabSelected="1" topLeftCell="A15" workbookViewId="0">
      <selection activeCell="H17" sqref="H17"/>
    </sheetView>
  </sheetViews>
  <sheetFormatPr defaultRowHeight="15" x14ac:dyDescent="0.25"/>
  <cols>
    <col min="2" max="2" width="98.42578125" style="70" customWidth="1"/>
  </cols>
  <sheetData>
    <row r="1" spans="1:2" ht="15.75" thickBot="1" x14ac:dyDescent="0.3"/>
    <row r="2" spans="1:2" ht="15.75" thickBot="1" x14ac:dyDescent="0.3">
      <c r="A2" s="832"/>
      <c r="B2" s="833" t="s">
        <v>897</v>
      </c>
    </row>
    <row r="3" spans="1:2" ht="15.75" thickBot="1" x14ac:dyDescent="0.3">
      <c r="A3" s="2049"/>
      <c r="B3" s="2050" t="s">
        <v>897</v>
      </c>
    </row>
    <row r="4" spans="1:2" ht="90.75" thickBot="1" x14ac:dyDescent="0.3">
      <c r="A4" s="2051">
        <v>1</v>
      </c>
      <c r="B4" s="2052" t="s">
        <v>967</v>
      </c>
    </row>
    <row r="5" spans="1:2" ht="15.75" thickBot="1" x14ac:dyDescent="0.3">
      <c r="A5" s="2053">
        <v>2</v>
      </c>
      <c r="B5" s="2054" t="s">
        <v>956</v>
      </c>
    </row>
    <row r="6" spans="1:2" ht="15.75" thickBot="1" x14ac:dyDescent="0.3">
      <c r="A6" s="2053">
        <v>3</v>
      </c>
      <c r="B6" s="2054" t="s">
        <v>745</v>
      </c>
    </row>
    <row r="7" spans="1:2" ht="15.75" thickBot="1" x14ac:dyDescent="0.3">
      <c r="A7" s="2053">
        <v>4</v>
      </c>
      <c r="B7" s="2054" t="s">
        <v>746</v>
      </c>
    </row>
    <row r="8" spans="1:2" ht="30.75" thickBot="1" x14ac:dyDescent="0.3">
      <c r="A8" s="2053">
        <v>5</v>
      </c>
      <c r="B8" s="2054" t="s">
        <v>747</v>
      </c>
    </row>
    <row r="9" spans="1:2" ht="30.75" thickBot="1" x14ac:dyDescent="0.3">
      <c r="A9" s="2053">
        <v>6</v>
      </c>
      <c r="B9" s="2054" t="s">
        <v>957</v>
      </c>
    </row>
    <row r="10" spans="1:2" ht="15.75" thickBot="1" x14ac:dyDescent="0.3">
      <c r="A10" s="2053">
        <v>7</v>
      </c>
      <c r="B10" s="2054" t="s">
        <v>879</v>
      </c>
    </row>
    <row r="11" spans="1:2" ht="30.75" thickBot="1" x14ac:dyDescent="0.3">
      <c r="A11" s="2053">
        <v>8</v>
      </c>
      <c r="B11" s="2054" t="s">
        <v>891</v>
      </c>
    </row>
    <row r="12" spans="1:2" ht="30.75" thickBot="1" x14ac:dyDescent="0.3">
      <c r="A12" s="2053">
        <v>9</v>
      </c>
      <c r="B12" s="2054" t="s">
        <v>896</v>
      </c>
    </row>
    <row r="13" spans="1:2" ht="45.75" thickBot="1" x14ac:dyDescent="0.3">
      <c r="A13" s="2053">
        <v>10</v>
      </c>
      <c r="B13" s="2054" t="s">
        <v>954</v>
      </c>
    </row>
    <row r="14" spans="1:2" ht="26.25" customHeight="1" thickBot="1" x14ac:dyDescent="0.3">
      <c r="A14" s="2055">
        <v>11</v>
      </c>
      <c r="B14" s="2056" t="s">
        <v>958</v>
      </c>
    </row>
    <row r="15" spans="1:2" ht="93" customHeight="1" thickBot="1" x14ac:dyDescent="0.3">
      <c r="A15" s="2051">
        <v>12</v>
      </c>
      <c r="B15" s="2052" t="s">
        <v>959</v>
      </c>
    </row>
    <row r="16" spans="1:2" ht="58.5" customHeight="1" thickBot="1" x14ac:dyDescent="0.3">
      <c r="A16" s="2053">
        <v>13</v>
      </c>
      <c r="B16" s="2057" t="s">
        <v>960</v>
      </c>
    </row>
    <row r="17" spans="1:2" ht="45.75" thickBot="1" x14ac:dyDescent="0.3">
      <c r="A17" s="2053">
        <v>14</v>
      </c>
      <c r="B17" s="2058" t="s">
        <v>961</v>
      </c>
    </row>
    <row r="18" spans="1:2" ht="30.75" thickBot="1" x14ac:dyDescent="0.3">
      <c r="A18" s="2053">
        <v>15</v>
      </c>
      <c r="B18" s="2059" t="s">
        <v>962</v>
      </c>
    </row>
    <row r="19" spans="1:2" ht="30.75" thickBot="1" x14ac:dyDescent="0.3">
      <c r="A19" s="2053">
        <v>16</v>
      </c>
      <c r="B19" s="2059" t="s">
        <v>963</v>
      </c>
    </row>
    <row r="20" spans="1:2" ht="45.75" thickBot="1" x14ac:dyDescent="0.3">
      <c r="A20" s="2053">
        <v>17</v>
      </c>
      <c r="B20" s="2059" t="s">
        <v>964</v>
      </c>
    </row>
    <row r="21" spans="1:2" ht="30.75" thickBot="1" x14ac:dyDescent="0.3">
      <c r="A21" s="2053">
        <v>18</v>
      </c>
      <c r="B21" s="2059" t="s">
        <v>965</v>
      </c>
    </row>
    <row r="22" spans="1:2" ht="15.75" thickBot="1" x14ac:dyDescent="0.3">
      <c r="A22" s="2053">
        <v>19</v>
      </c>
      <c r="B22" s="2054" t="s">
        <v>955</v>
      </c>
    </row>
    <row r="23" spans="1:2" x14ac:dyDescent="0.25">
      <c r="A23" s="2060"/>
      <c r="B23"/>
    </row>
    <row r="24" spans="1:2" x14ac:dyDescent="0.25">
      <c r="A24" s="2061" t="s">
        <v>966</v>
      </c>
      <c r="B24"/>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pane xSplit="1" ySplit="6" topLeftCell="B7" activePane="bottomRight" state="frozen"/>
      <selection pane="topRight" activeCell="B1" sqref="B1"/>
      <selection pane="bottomLeft" activeCell="A7" sqref="A7"/>
      <selection pane="bottomRight" activeCell="K20" sqref="K20"/>
    </sheetView>
  </sheetViews>
  <sheetFormatPr defaultRowHeight="15" x14ac:dyDescent="0.25"/>
  <cols>
    <col min="1" max="1" width="20.140625" customWidth="1"/>
    <col min="8" max="8" width="12.140625" customWidth="1"/>
    <col min="9" max="9" width="10.7109375" customWidth="1"/>
  </cols>
  <sheetData>
    <row r="1" spans="1:10" x14ac:dyDescent="0.25">
      <c r="A1" s="374" t="s">
        <v>907</v>
      </c>
    </row>
    <row r="2" spans="1:10" x14ac:dyDescent="0.25">
      <c r="A2" t="s">
        <v>555</v>
      </c>
      <c r="B2" s="2033">
        <f>District!H4</f>
        <v>0</v>
      </c>
      <c r="C2" s="2033"/>
      <c r="D2" s="2033"/>
    </row>
    <row r="3" spans="1:10" ht="73.5" x14ac:dyDescent="0.25">
      <c r="A3" s="2034" t="s">
        <v>43</v>
      </c>
      <c r="B3" s="2034" t="s">
        <v>906</v>
      </c>
      <c r="C3" s="2034" t="s">
        <v>642</v>
      </c>
      <c r="D3" s="2035" t="s">
        <v>643</v>
      </c>
      <c r="E3" s="2036"/>
      <c r="F3" s="2036"/>
      <c r="G3" s="2037"/>
      <c r="H3" s="2034" t="s">
        <v>644</v>
      </c>
      <c r="I3" s="177" t="s">
        <v>645</v>
      </c>
      <c r="J3" s="2034" t="s">
        <v>647</v>
      </c>
    </row>
    <row r="4" spans="1:10" x14ac:dyDescent="0.25">
      <c r="A4" s="2034"/>
      <c r="B4" s="2034"/>
      <c r="C4" s="2034"/>
      <c r="D4" s="2038"/>
      <c r="E4" s="2039"/>
      <c r="F4" s="2039"/>
      <c r="G4" s="2040"/>
      <c r="H4" s="2034"/>
      <c r="I4" s="177" t="s">
        <v>646</v>
      </c>
      <c r="J4" s="2034"/>
    </row>
    <row r="5" spans="1:10" ht="15" customHeight="1" x14ac:dyDescent="0.25">
      <c r="A5" s="2034"/>
      <c r="B5" s="2034"/>
      <c r="C5" s="2034"/>
      <c r="D5" s="582" t="s">
        <v>682</v>
      </c>
      <c r="E5" s="582" t="s">
        <v>683</v>
      </c>
      <c r="F5" s="582" t="s">
        <v>684</v>
      </c>
      <c r="G5" s="582" t="s">
        <v>685</v>
      </c>
      <c r="H5" s="2034"/>
      <c r="I5" s="423"/>
      <c r="J5" s="2034"/>
    </row>
    <row r="6" spans="1:10" x14ac:dyDescent="0.25">
      <c r="A6" s="177"/>
      <c r="B6" s="664" t="s">
        <v>648</v>
      </c>
      <c r="C6" s="664" t="s">
        <v>649</v>
      </c>
      <c r="D6" s="2043" t="s">
        <v>905</v>
      </c>
      <c r="E6" s="2044"/>
      <c r="F6" s="2044"/>
      <c r="G6" s="2045"/>
      <c r="H6" s="664" t="s">
        <v>650</v>
      </c>
      <c r="I6" s="664" t="s">
        <v>651</v>
      </c>
      <c r="J6" s="664" t="s">
        <v>652</v>
      </c>
    </row>
    <row r="7" spans="1:10" x14ac:dyDescent="0.25">
      <c r="A7" s="177" t="s">
        <v>653</v>
      </c>
      <c r="B7" s="424"/>
      <c r="C7" s="424"/>
      <c r="D7" s="424"/>
      <c r="E7" s="424"/>
      <c r="F7" s="424"/>
      <c r="G7" s="424"/>
      <c r="H7" s="425"/>
      <c r="I7" s="425"/>
      <c r="J7" s="2041"/>
    </row>
    <row r="8" spans="1:10" x14ac:dyDescent="0.25">
      <c r="A8" s="177" t="s">
        <v>654</v>
      </c>
      <c r="B8" s="2041"/>
      <c r="C8" s="2041"/>
      <c r="D8" s="2041"/>
      <c r="E8" s="2041"/>
      <c r="F8" s="2041"/>
      <c r="G8" s="2041"/>
      <c r="H8" s="2042"/>
      <c r="I8" s="2042"/>
      <c r="J8" s="2041"/>
    </row>
    <row r="9" spans="1:10" x14ac:dyDescent="0.25">
      <c r="A9" s="177" t="s">
        <v>655</v>
      </c>
      <c r="B9" s="2041"/>
      <c r="C9" s="2041"/>
      <c r="D9" s="2041"/>
      <c r="E9" s="2041"/>
      <c r="F9" s="2041"/>
      <c r="G9" s="2041"/>
      <c r="H9" s="2042"/>
      <c r="I9" s="2042"/>
      <c r="J9" s="2041"/>
    </row>
    <row r="10" spans="1:10" x14ac:dyDescent="0.25">
      <c r="A10" s="177" t="s">
        <v>656</v>
      </c>
      <c r="B10" s="424"/>
      <c r="C10" s="424"/>
      <c r="D10" s="424"/>
      <c r="E10" s="424"/>
      <c r="F10" s="424"/>
      <c r="G10" s="424"/>
      <c r="H10" s="425"/>
      <c r="I10" s="425"/>
      <c r="J10" s="2041"/>
    </row>
    <row r="11" spans="1:10" ht="21" x14ac:dyDescent="0.25">
      <c r="A11" s="177" t="s">
        <v>657</v>
      </c>
      <c r="B11" s="2041"/>
      <c r="C11" s="2041"/>
      <c r="D11" s="2041"/>
      <c r="E11" s="2041"/>
      <c r="F11" s="2041"/>
      <c r="G11" s="2041"/>
      <c r="H11" s="2042"/>
      <c r="I11" s="2042"/>
      <c r="J11" s="2041"/>
    </row>
    <row r="12" spans="1:10" x14ac:dyDescent="0.25">
      <c r="A12" s="177" t="s">
        <v>658</v>
      </c>
      <c r="B12" s="2041"/>
      <c r="C12" s="2041"/>
      <c r="D12" s="2041"/>
      <c r="E12" s="2041"/>
      <c r="F12" s="2041"/>
      <c r="G12" s="2041"/>
      <c r="H12" s="2042"/>
      <c r="I12" s="2042"/>
      <c r="J12" s="2041"/>
    </row>
    <row r="13" spans="1:10" ht="21" x14ac:dyDescent="0.25">
      <c r="A13" s="177" t="s">
        <v>659</v>
      </c>
      <c r="B13" s="424"/>
      <c r="C13" s="424"/>
      <c r="D13" s="424"/>
      <c r="E13" s="424"/>
      <c r="F13" s="424"/>
      <c r="G13" s="424"/>
      <c r="H13" s="425"/>
      <c r="I13" s="425"/>
      <c r="J13" s="2041"/>
    </row>
    <row r="14" spans="1:10" ht="21" x14ac:dyDescent="0.25">
      <c r="A14" s="177" t="s">
        <v>660</v>
      </c>
      <c r="B14" s="424"/>
      <c r="C14" s="424"/>
      <c r="D14" s="424"/>
      <c r="E14" s="424"/>
      <c r="F14" s="424"/>
      <c r="G14" s="424"/>
      <c r="H14" s="425"/>
      <c r="I14" s="425"/>
      <c r="J14" s="2041"/>
    </row>
    <row r="15" spans="1:10" x14ac:dyDescent="0.25">
      <c r="A15" s="177" t="s">
        <v>661</v>
      </c>
      <c r="B15" s="424"/>
      <c r="C15" s="424"/>
      <c r="D15" s="424"/>
      <c r="E15" s="424"/>
      <c r="F15" s="424"/>
      <c r="G15" s="424"/>
      <c r="H15" s="425"/>
      <c r="I15" s="425"/>
      <c r="J15" s="2041"/>
    </row>
    <row r="16" spans="1:10" x14ac:dyDescent="0.25">
      <c r="A16" s="177" t="s">
        <v>662</v>
      </c>
      <c r="B16" s="424"/>
      <c r="C16" s="424"/>
      <c r="D16" s="424"/>
      <c r="E16" s="424"/>
      <c r="F16" s="424"/>
      <c r="G16" s="424"/>
      <c r="H16" s="425"/>
      <c r="I16" s="425"/>
      <c r="J16" s="2041"/>
    </row>
    <row r="17" spans="1:10" ht="21" x14ac:dyDescent="0.25">
      <c r="A17" s="177" t="s">
        <v>663</v>
      </c>
      <c r="B17" s="424"/>
      <c r="C17" s="424"/>
      <c r="D17" s="424"/>
      <c r="E17" s="424"/>
      <c r="F17" s="424"/>
      <c r="G17" s="424"/>
      <c r="H17" s="425"/>
      <c r="I17" s="425"/>
      <c r="J17" s="2041"/>
    </row>
    <row r="18" spans="1:10" x14ac:dyDescent="0.25">
      <c r="A18" s="177" t="s">
        <v>664</v>
      </c>
      <c r="B18" s="424"/>
      <c r="C18" s="424"/>
      <c r="D18" s="424"/>
      <c r="E18" s="424"/>
      <c r="F18" s="424"/>
      <c r="G18" s="424"/>
      <c r="H18" s="425"/>
      <c r="I18" s="425"/>
      <c r="J18" s="2041"/>
    </row>
    <row r="19" spans="1:10" x14ac:dyDescent="0.25">
      <c r="A19" s="177" t="s">
        <v>665</v>
      </c>
      <c r="B19" s="424"/>
      <c r="C19" s="424"/>
      <c r="D19" s="424"/>
      <c r="E19" s="424"/>
      <c r="F19" s="424"/>
      <c r="G19" s="424"/>
      <c r="H19" s="425"/>
      <c r="I19" s="425"/>
      <c r="J19" s="2041"/>
    </row>
    <row r="20" spans="1:10" x14ac:dyDescent="0.25">
      <c r="A20" s="177" t="s">
        <v>666</v>
      </c>
      <c r="B20" s="424"/>
      <c r="C20" s="424"/>
      <c r="D20" s="424"/>
      <c r="E20" s="424"/>
      <c r="F20" s="424"/>
      <c r="G20" s="424"/>
      <c r="H20" s="425"/>
      <c r="I20" s="425"/>
      <c r="J20" s="2041"/>
    </row>
    <row r="21" spans="1:10" ht="21" x14ac:dyDescent="0.25">
      <c r="A21" s="177" t="s">
        <v>667</v>
      </c>
      <c r="B21" s="424"/>
      <c r="C21" s="424"/>
      <c r="D21" s="424"/>
      <c r="E21" s="424"/>
      <c r="F21" s="424"/>
      <c r="G21" s="424"/>
      <c r="H21" s="425"/>
      <c r="I21" s="425"/>
      <c r="J21" s="2041"/>
    </row>
    <row r="22" spans="1:10" x14ac:dyDescent="0.25">
      <c r="A22" s="177" t="s">
        <v>668</v>
      </c>
      <c r="B22" s="424"/>
      <c r="C22" s="424"/>
      <c r="D22" s="424"/>
      <c r="E22" s="424"/>
      <c r="F22" s="424"/>
      <c r="G22" s="424"/>
      <c r="H22" s="425"/>
      <c r="I22" s="425"/>
      <c r="J22" s="2041"/>
    </row>
    <row r="23" spans="1:10" ht="21" x14ac:dyDescent="0.25">
      <c r="A23" s="177" t="s">
        <v>669</v>
      </c>
      <c r="B23" s="424"/>
      <c r="C23" s="424"/>
      <c r="D23" s="424"/>
      <c r="E23" s="424"/>
      <c r="F23" s="424"/>
      <c r="G23" s="424"/>
      <c r="H23" s="425"/>
      <c r="I23" s="425"/>
      <c r="J23" s="2041"/>
    </row>
    <row r="24" spans="1:10" x14ac:dyDescent="0.25">
      <c r="A24" s="177" t="s">
        <v>670</v>
      </c>
      <c r="B24" s="424"/>
      <c r="C24" s="424"/>
      <c r="D24" s="424"/>
      <c r="E24" s="424"/>
      <c r="F24" s="424"/>
      <c r="G24" s="424"/>
      <c r="H24" s="425"/>
      <c r="I24" s="425"/>
      <c r="J24" s="2041"/>
    </row>
    <row r="25" spans="1:10" ht="42" x14ac:dyDescent="0.25">
      <c r="A25" s="177" t="s">
        <v>671</v>
      </c>
      <c r="B25" s="424"/>
      <c r="C25" s="424"/>
      <c r="D25" s="424"/>
      <c r="E25" s="424"/>
      <c r="F25" s="424"/>
      <c r="G25" s="424"/>
      <c r="H25" s="425"/>
      <c r="I25" s="425"/>
      <c r="J25" s="2041"/>
    </row>
    <row r="26" spans="1:10" x14ac:dyDescent="0.25">
      <c r="A26" s="177" t="s">
        <v>672</v>
      </c>
      <c r="B26" s="424"/>
      <c r="C26" s="424"/>
      <c r="D26" s="424"/>
      <c r="E26" s="424"/>
      <c r="F26" s="424"/>
      <c r="G26" s="424"/>
      <c r="H26" s="425"/>
      <c r="I26" s="425"/>
      <c r="J26" s="2041"/>
    </row>
    <row r="27" spans="1:10" x14ac:dyDescent="0.25">
      <c r="A27" s="177" t="s">
        <v>673</v>
      </c>
      <c r="B27" s="424"/>
      <c r="C27" s="424"/>
      <c r="D27" s="424"/>
      <c r="E27" s="424"/>
      <c r="F27" s="424"/>
      <c r="G27" s="424"/>
      <c r="H27" s="425"/>
      <c r="I27" s="425"/>
      <c r="J27" s="425"/>
    </row>
    <row r="28" spans="1:10" x14ac:dyDescent="0.25">
      <c r="A28" s="177" t="s">
        <v>674</v>
      </c>
      <c r="B28" s="424"/>
      <c r="C28" s="424"/>
      <c r="D28" s="424"/>
      <c r="E28" s="424"/>
      <c r="F28" s="424"/>
      <c r="G28" s="424"/>
      <c r="H28" s="425"/>
      <c r="I28" s="425"/>
      <c r="J28" s="2042"/>
    </row>
    <row r="29" spans="1:10" ht="21" x14ac:dyDescent="0.25">
      <c r="A29" s="177" t="s">
        <v>675</v>
      </c>
      <c r="B29" s="424"/>
      <c r="C29" s="424"/>
      <c r="D29" s="424"/>
      <c r="E29" s="424"/>
      <c r="F29" s="424"/>
      <c r="G29" s="424"/>
      <c r="H29" s="425"/>
      <c r="I29" s="425"/>
      <c r="J29" s="2042"/>
    </row>
    <row r="30" spans="1:10" ht="42" x14ac:dyDescent="0.25">
      <c r="A30" s="177" t="s">
        <v>676</v>
      </c>
      <c r="B30" s="424"/>
      <c r="C30" s="424"/>
      <c r="D30" s="424"/>
      <c r="E30" s="424"/>
      <c r="F30" s="424"/>
      <c r="G30" s="424"/>
      <c r="H30" s="425"/>
      <c r="I30" s="425"/>
      <c r="J30" s="2042"/>
    </row>
    <row r="31" spans="1:10" ht="31.5" x14ac:dyDescent="0.25">
      <c r="A31" s="177" t="s">
        <v>677</v>
      </c>
      <c r="B31" s="424"/>
      <c r="C31" s="424"/>
      <c r="D31" s="424"/>
      <c r="E31" s="424"/>
      <c r="F31" s="424"/>
      <c r="G31" s="424"/>
      <c r="H31" s="425"/>
      <c r="I31" s="425"/>
      <c r="J31" s="2042"/>
    </row>
    <row r="32" spans="1:10" ht="42" x14ac:dyDescent="0.25">
      <c r="A32" s="426" t="s">
        <v>678</v>
      </c>
      <c r="B32" s="424"/>
      <c r="C32" s="424"/>
      <c r="D32" s="424"/>
      <c r="E32" s="424"/>
      <c r="F32" s="424"/>
      <c r="G32" s="424"/>
      <c r="H32" s="425"/>
      <c r="I32" s="425"/>
      <c r="J32" s="425"/>
    </row>
    <row r="33" spans="1:10" ht="63" x14ac:dyDescent="0.25">
      <c r="A33" s="426" t="s">
        <v>679</v>
      </c>
      <c r="B33" s="424"/>
      <c r="C33" s="424"/>
      <c r="D33" s="424"/>
      <c r="E33" s="424"/>
      <c r="F33" s="424"/>
      <c r="G33" s="424"/>
      <c r="H33" s="425"/>
      <c r="I33" s="425"/>
      <c r="J33" s="425"/>
    </row>
    <row r="34" spans="1:10" ht="63" x14ac:dyDescent="0.25">
      <c r="A34" s="426" t="s">
        <v>680</v>
      </c>
      <c r="B34" s="424"/>
      <c r="C34" s="424"/>
      <c r="D34" s="424"/>
      <c r="E34" s="424"/>
      <c r="F34" s="424"/>
      <c r="G34" s="424"/>
      <c r="H34" s="425"/>
      <c r="I34" s="425"/>
      <c r="J34" s="425"/>
    </row>
    <row r="35" spans="1:10" x14ac:dyDescent="0.25">
      <c r="A35" s="177" t="s">
        <v>681</v>
      </c>
      <c r="B35" s="424"/>
      <c r="C35" s="424"/>
      <c r="D35" s="424"/>
      <c r="E35" s="424"/>
      <c r="F35" s="424"/>
      <c r="G35" s="424"/>
      <c r="H35" s="425"/>
      <c r="I35" s="425"/>
      <c r="J35" s="425"/>
    </row>
    <row r="36" spans="1:10" x14ac:dyDescent="0.25">
      <c r="A36" s="426" t="s">
        <v>163</v>
      </c>
      <c r="B36" s="424"/>
      <c r="C36" s="424"/>
      <c r="D36" s="424"/>
      <c r="E36" s="424"/>
      <c r="F36" s="424"/>
      <c r="G36" s="424"/>
      <c r="H36" s="425"/>
      <c r="I36" s="425"/>
      <c r="J36" s="425"/>
    </row>
  </sheetData>
  <mergeCells count="26">
    <mergeCell ref="A3:A5"/>
    <mergeCell ref="B3:B5"/>
    <mergeCell ref="C3:C5"/>
    <mergeCell ref="D6:G6"/>
    <mergeCell ref="J28:J31"/>
    <mergeCell ref="I8:I9"/>
    <mergeCell ref="B11:B12"/>
    <mergeCell ref="C11:C12"/>
    <mergeCell ref="D11:D12"/>
    <mergeCell ref="E11:E12"/>
    <mergeCell ref="F11:F12"/>
    <mergeCell ref="G11:G12"/>
    <mergeCell ref="H11:H12"/>
    <mergeCell ref="I11:I12"/>
    <mergeCell ref="J7:J26"/>
    <mergeCell ref="B8:B9"/>
    <mergeCell ref="B2:D2"/>
    <mergeCell ref="J3:J5"/>
    <mergeCell ref="H3:H5"/>
    <mergeCell ref="D3:G4"/>
    <mergeCell ref="F8:F9"/>
    <mergeCell ref="G8:G9"/>
    <mergeCell ref="H8:H9"/>
    <mergeCell ref="C8:C9"/>
    <mergeCell ref="D8:D9"/>
    <mergeCell ref="E8:E9"/>
  </mergeCells>
  <pageMargins left="0.7" right="0.7" top="0.75" bottom="0.75" header="0.3" footer="0.3"/>
  <pageSetup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4"/>
  <sheetViews>
    <sheetView workbookViewId="0">
      <selection sqref="A1:A2"/>
    </sheetView>
  </sheetViews>
  <sheetFormatPr defaultRowHeight="15" x14ac:dyDescent="0.25"/>
  <cols>
    <col min="1" max="1" width="7.7109375" style="6" customWidth="1"/>
    <col min="2" max="2" width="28.140625" style="6" customWidth="1"/>
    <col min="3" max="3" width="19.42578125" style="6" customWidth="1"/>
    <col min="4" max="27" width="11.5703125" style="7" customWidth="1"/>
    <col min="28" max="28" width="10" style="6" bestFit="1" customWidth="1"/>
    <col min="29" max="16384" width="9.140625" style="6"/>
  </cols>
  <sheetData>
    <row r="1" spans="1:28" customFormat="1" x14ac:dyDescent="0.25">
      <c r="A1" s="1498" t="s">
        <v>0</v>
      </c>
      <c r="B1" s="1498" t="s">
        <v>1</v>
      </c>
      <c r="C1" s="1498"/>
      <c r="D1" s="982" t="s">
        <v>555</v>
      </c>
      <c r="E1" s="982" t="s">
        <v>555</v>
      </c>
      <c r="F1" s="982" t="s">
        <v>555</v>
      </c>
      <c r="G1" s="982" t="s">
        <v>555</v>
      </c>
      <c r="H1" s="982" t="s">
        <v>555</v>
      </c>
      <c r="I1" s="982" t="s">
        <v>555</v>
      </c>
      <c r="J1" s="982" t="s">
        <v>555</v>
      </c>
      <c r="K1" s="982" t="s">
        <v>555</v>
      </c>
      <c r="L1" s="982" t="s">
        <v>555</v>
      </c>
      <c r="M1" s="982" t="s">
        <v>555</v>
      </c>
      <c r="N1" s="982" t="s">
        <v>555</v>
      </c>
      <c r="O1" s="982" t="s">
        <v>555</v>
      </c>
      <c r="P1" s="982" t="s">
        <v>555</v>
      </c>
      <c r="Q1" s="982" t="s">
        <v>555</v>
      </c>
      <c r="R1" s="982" t="s">
        <v>555</v>
      </c>
      <c r="S1" s="982" t="s">
        <v>555</v>
      </c>
      <c r="T1" s="982" t="s">
        <v>555</v>
      </c>
      <c r="U1" s="982" t="s">
        <v>555</v>
      </c>
      <c r="V1" s="982" t="s">
        <v>555</v>
      </c>
      <c r="W1" s="982" t="s">
        <v>555</v>
      </c>
      <c r="X1" s="982" t="s">
        <v>555</v>
      </c>
      <c r="Y1" s="982" t="s">
        <v>555</v>
      </c>
      <c r="Z1" s="982" t="s">
        <v>555</v>
      </c>
      <c r="AA1" s="982" t="s">
        <v>555</v>
      </c>
      <c r="AB1" s="982" t="s">
        <v>2</v>
      </c>
    </row>
    <row r="2" spans="1:28" customFormat="1" x14ac:dyDescent="0.25">
      <c r="A2" s="1498"/>
      <c r="B2" s="1498"/>
      <c r="C2" s="1498"/>
      <c r="D2" s="982"/>
      <c r="E2" s="982"/>
      <c r="F2" s="982"/>
      <c r="G2" s="982"/>
      <c r="H2" s="982"/>
      <c r="I2" s="982"/>
      <c r="J2" s="982"/>
      <c r="K2" s="982"/>
      <c r="L2" s="982"/>
      <c r="M2" s="982"/>
      <c r="N2" s="982"/>
      <c r="O2" s="982"/>
      <c r="P2" s="982"/>
      <c r="Q2" s="982"/>
      <c r="R2" s="982"/>
      <c r="S2" s="982"/>
      <c r="T2" s="982"/>
      <c r="U2" s="982"/>
      <c r="V2" s="982"/>
      <c r="W2" s="982"/>
      <c r="X2" s="982"/>
      <c r="Y2" s="982"/>
      <c r="Z2" s="982"/>
      <c r="AA2" s="982"/>
      <c r="AB2" s="982"/>
    </row>
    <row r="3" spans="1:28" customFormat="1" ht="15.75" x14ac:dyDescent="0.25">
      <c r="A3" s="1">
        <v>1</v>
      </c>
      <c r="B3" s="1506" t="s">
        <v>3</v>
      </c>
      <c r="C3" s="1506"/>
      <c r="D3" s="3"/>
      <c r="E3" s="3"/>
      <c r="F3" s="3"/>
      <c r="G3" s="3"/>
      <c r="H3" s="3"/>
      <c r="I3" s="3"/>
      <c r="J3" s="3"/>
      <c r="K3" s="3"/>
      <c r="L3" s="3"/>
      <c r="M3" s="3"/>
      <c r="N3" s="3"/>
      <c r="O3" s="3"/>
      <c r="P3" s="3"/>
      <c r="Q3" s="3"/>
      <c r="R3" s="3"/>
      <c r="S3" s="3"/>
      <c r="T3" s="3"/>
      <c r="U3" s="3"/>
      <c r="V3" s="3"/>
      <c r="W3" s="3"/>
      <c r="X3" s="3"/>
      <c r="Y3" s="3"/>
      <c r="Z3" s="3"/>
      <c r="AA3" s="3"/>
      <c r="AB3" s="4"/>
    </row>
    <row r="4" spans="1:28" customFormat="1" ht="15.75" x14ac:dyDescent="0.25">
      <c r="A4" s="1">
        <v>2</v>
      </c>
      <c r="B4" s="1506" t="s">
        <v>4</v>
      </c>
      <c r="C4" s="1506"/>
      <c r="D4" s="3"/>
      <c r="E4" s="3"/>
      <c r="F4" s="3"/>
      <c r="G4" s="3"/>
      <c r="H4" s="3"/>
      <c r="I4" s="3"/>
      <c r="J4" s="3"/>
      <c r="K4" s="3"/>
      <c r="L4" s="3"/>
      <c r="M4" s="3"/>
      <c r="N4" s="3"/>
      <c r="O4" s="3"/>
      <c r="P4" s="3"/>
      <c r="Q4" s="3"/>
      <c r="R4" s="3"/>
      <c r="S4" s="3"/>
      <c r="T4" s="3"/>
      <c r="U4" s="3"/>
      <c r="V4" s="3"/>
      <c r="W4" s="3"/>
      <c r="X4" s="3"/>
      <c r="Y4" s="3"/>
      <c r="Z4" s="3"/>
      <c r="AA4" s="3"/>
      <c r="AB4" s="4"/>
    </row>
    <row r="5" spans="1:28" customFormat="1" ht="15.75" x14ac:dyDescent="0.25">
      <c r="A5" s="1">
        <v>3</v>
      </c>
      <c r="B5" s="1506" t="s">
        <v>5</v>
      </c>
      <c r="C5" s="1506"/>
      <c r="D5" s="3"/>
      <c r="E5" s="3"/>
      <c r="F5" s="3"/>
      <c r="G5" s="3"/>
      <c r="H5" s="3"/>
      <c r="I5" s="3"/>
      <c r="J5" s="3"/>
      <c r="K5" s="3"/>
      <c r="L5" s="3"/>
      <c r="M5" s="3"/>
      <c r="N5" s="3"/>
      <c r="O5" s="3"/>
      <c r="P5" s="3"/>
      <c r="Q5" s="3"/>
      <c r="R5" s="3"/>
      <c r="S5" s="3"/>
      <c r="T5" s="3"/>
      <c r="U5" s="3"/>
      <c r="V5" s="3"/>
      <c r="W5" s="3"/>
      <c r="X5" s="3"/>
      <c r="Y5" s="3"/>
      <c r="Z5" s="3"/>
      <c r="AA5" s="3"/>
      <c r="AB5" s="4"/>
    </row>
    <row r="6" spans="1:28" customFormat="1" ht="15.75" x14ac:dyDescent="0.25">
      <c r="A6" s="1">
        <v>4</v>
      </c>
      <c r="B6" s="1506" t="s">
        <v>6</v>
      </c>
      <c r="C6" s="1506"/>
      <c r="D6" s="3"/>
      <c r="E6" s="3"/>
      <c r="F6" s="3"/>
      <c r="G6" s="3"/>
      <c r="H6" s="3"/>
      <c r="I6" s="3"/>
      <c r="J6" s="3"/>
      <c r="K6" s="3"/>
      <c r="L6" s="3"/>
      <c r="M6" s="3"/>
      <c r="N6" s="3"/>
      <c r="O6" s="3"/>
      <c r="P6" s="3"/>
      <c r="Q6" s="3"/>
      <c r="R6" s="3"/>
      <c r="S6" s="3"/>
      <c r="T6" s="3"/>
      <c r="U6" s="3"/>
      <c r="V6" s="3"/>
      <c r="W6" s="3"/>
      <c r="X6" s="3"/>
      <c r="Y6" s="3"/>
      <c r="Z6" s="3"/>
      <c r="AA6" s="3"/>
      <c r="AB6" s="4"/>
    </row>
    <row r="7" spans="1:28" customFormat="1" ht="15.75" x14ac:dyDescent="0.25">
      <c r="A7" s="1">
        <v>5</v>
      </c>
      <c r="B7" s="1506" t="s">
        <v>7</v>
      </c>
      <c r="C7" s="1506"/>
      <c r="D7" s="3"/>
      <c r="E7" s="3"/>
      <c r="F7" s="3"/>
      <c r="G7" s="3"/>
      <c r="H7" s="3"/>
      <c r="I7" s="3"/>
      <c r="J7" s="3"/>
      <c r="K7" s="3"/>
      <c r="L7" s="3"/>
      <c r="M7" s="3"/>
      <c r="N7" s="3"/>
      <c r="O7" s="3"/>
      <c r="P7" s="3"/>
      <c r="Q7" s="3"/>
      <c r="R7" s="3"/>
      <c r="S7" s="3"/>
      <c r="T7" s="3"/>
      <c r="U7" s="3"/>
      <c r="V7" s="3"/>
      <c r="W7" s="3"/>
      <c r="X7" s="3"/>
      <c r="Y7" s="3"/>
      <c r="Z7" s="3"/>
      <c r="AA7" s="3"/>
      <c r="AB7" s="4"/>
    </row>
    <row r="8" spans="1:28" customFormat="1" ht="15.75" x14ac:dyDescent="0.25">
      <c r="A8" s="1">
        <v>6</v>
      </c>
      <c r="B8" s="1506" t="s">
        <v>8</v>
      </c>
      <c r="C8" s="1506"/>
      <c r="D8" s="3"/>
      <c r="E8" s="3"/>
      <c r="F8" s="3"/>
      <c r="G8" s="3"/>
      <c r="H8" s="3"/>
      <c r="I8" s="3"/>
      <c r="J8" s="3"/>
      <c r="K8" s="3"/>
      <c r="L8" s="3"/>
      <c r="M8" s="3"/>
      <c r="N8" s="3"/>
      <c r="O8" s="3"/>
      <c r="P8" s="3"/>
      <c r="Q8" s="3"/>
      <c r="R8" s="3"/>
      <c r="S8" s="3"/>
      <c r="T8" s="3"/>
      <c r="U8" s="3"/>
      <c r="V8" s="3"/>
      <c r="W8" s="3"/>
      <c r="X8" s="3"/>
      <c r="Y8" s="3"/>
      <c r="Z8" s="3"/>
      <c r="AA8" s="3"/>
      <c r="AB8" s="4"/>
    </row>
    <row r="9" spans="1:28" customFormat="1" ht="15.75" x14ac:dyDescent="0.25">
      <c r="A9" s="1">
        <v>7</v>
      </c>
      <c r="B9" s="1506" t="s">
        <v>9</v>
      </c>
      <c r="C9" s="1506"/>
      <c r="D9" s="3"/>
      <c r="E9" s="3"/>
      <c r="F9" s="3"/>
      <c r="G9" s="3"/>
      <c r="H9" s="3"/>
      <c r="I9" s="3"/>
      <c r="J9" s="3"/>
      <c r="K9" s="3"/>
      <c r="L9" s="3"/>
      <c r="M9" s="3"/>
      <c r="N9" s="3"/>
      <c r="O9" s="3"/>
      <c r="P9" s="3"/>
      <c r="Q9" s="3"/>
      <c r="R9" s="3"/>
      <c r="S9" s="3"/>
      <c r="T9" s="3"/>
      <c r="U9" s="3"/>
      <c r="V9" s="3"/>
      <c r="W9" s="3"/>
      <c r="X9" s="3"/>
      <c r="Y9" s="3"/>
      <c r="Z9" s="3"/>
      <c r="AA9" s="3"/>
      <c r="AB9" s="4"/>
    </row>
    <row r="10" spans="1:28" customFormat="1" ht="15.75" x14ac:dyDescent="0.25">
      <c r="A10" s="1">
        <v>8</v>
      </c>
      <c r="B10" s="1506" t="s">
        <v>10</v>
      </c>
      <c r="C10" s="1506"/>
      <c r="D10" s="3"/>
      <c r="E10" s="3"/>
      <c r="F10" s="3"/>
      <c r="G10" s="3"/>
      <c r="H10" s="3"/>
      <c r="I10" s="3"/>
      <c r="J10" s="3"/>
      <c r="K10" s="3"/>
      <c r="L10" s="3"/>
      <c r="M10" s="3"/>
      <c r="N10" s="3"/>
      <c r="O10" s="3"/>
      <c r="P10" s="3"/>
      <c r="Q10" s="3"/>
      <c r="R10" s="3"/>
      <c r="S10" s="3"/>
      <c r="T10" s="3"/>
      <c r="U10" s="3"/>
      <c r="V10" s="3"/>
      <c r="W10" s="3"/>
      <c r="X10" s="3"/>
      <c r="Y10" s="3"/>
      <c r="Z10" s="3"/>
      <c r="AA10" s="3"/>
      <c r="AB10" s="4"/>
    </row>
    <row r="11" spans="1:28" customFormat="1" ht="15.75" x14ac:dyDescent="0.25">
      <c r="A11" s="1">
        <v>9</v>
      </c>
      <c r="B11" s="1506" t="s">
        <v>11</v>
      </c>
      <c r="C11" s="1506"/>
      <c r="D11" s="3"/>
      <c r="E11" s="3"/>
      <c r="F11" s="3"/>
      <c r="G11" s="3"/>
      <c r="H11" s="3"/>
      <c r="I11" s="3"/>
      <c r="J11" s="3"/>
      <c r="K11" s="3"/>
      <c r="L11" s="3"/>
      <c r="M11" s="3"/>
      <c r="N11" s="3"/>
      <c r="O11" s="3"/>
      <c r="P11" s="3"/>
      <c r="Q11" s="3"/>
      <c r="R11" s="3"/>
      <c r="S11" s="3"/>
      <c r="T11" s="3"/>
      <c r="U11" s="3"/>
      <c r="V11" s="3"/>
      <c r="W11" s="3"/>
      <c r="X11" s="3"/>
      <c r="Y11" s="3"/>
      <c r="Z11" s="3"/>
      <c r="AA11" s="3"/>
      <c r="AB11" s="4"/>
    </row>
    <row r="12" spans="1:28" customFormat="1" ht="15.75" x14ac:dyDescent="0.25">
      <c r="A12" s="1">
        <v>10</v>
      </c>
      <c r="B12" s="1506" t="s">
        <v>12</v>
      </c>
      <c r="C12" s="1506"/>
      <c r="D12" s="3"/>
      <c r="E12" s="3"/>
      <c r="F12" s="3"/>
      <c r="G12" s="3"/>
      <c r="H12" s="3"/>
      <c r="I12" s="3"/>
      <c r="J12" s="3"/>
      <c r="K12" s="3"/>
      <c r="L12" s="3"/>
      <c r="M12" s="3"/>
      <c r="N12" s="3"/>
      <c r="O12" s="3"/>
      <c r="P12" s="3"/>
      <c r="Q12" s="3"/>
      <c r="R12" s="3"/>
      <c r="S12" s="3"/>
      <c r="T12" s="3"/>
      <c r="U12" s="3"/>
      <c r="V12" s="3"/>
      <c r="W12" s="3"/>
      <c r="X12" s="3"/>
      <c r="Y12" s="3"/>
      <c r="Z12" s="3"/>
      <c r="AA12" s="3"/>
      <c r="AB12" s="4"/>
    </row>
    <row r="13" spans="1:28" customFormat="1" ht="15.75" x14ac:dyDescent="0.25">
      <c r="A13" s="1">
        <v>11</v>
      </c>
      <c r="B13" s="1506" t="s">
        <v>13</v>
      </c>
      <c r="C13" s="1506"/>
      <c r="D13" s="3"/>
      <c r="E13" s="3"/>
      <c r="F13" s="3"/>
      <c r="G13" s="3"/>
      <c r="H13" s="3"/>
      <c r="I13" s="3"/>
      <c r="J13" s="3"/>
      <c r="K13" s="3"/>
      <c r="L13" s="3"/>
      <c r="M13" s="3"/>
      <c r="N13" s="3"/>
      <c r="O13" s="3"/>
      <c r="P13" s="3"/>
      <c r="Q13" s="3"/>
      <c r="R13" s="3"/>
      <c r="S13" s="3"/>
      <c r="T13" s="3"/>
      <c r="U13" s="3"/>
      <c r="V13" s="3"/>
      <c r="W13" s="3"/>
      <c r="X13" s="3"/>
      <c r="Y13" s="3"/>
      <c r="Z13" s="3"/>
      <c r="AA13" s="3"/>
      <c r="AB13" s="4"/>
    </row>
    <row r="14" spans="1:28" customFormat="1" ht="15.75" x14ac:dyDescent="0.25">
      <c r="A14" s="1">
        <v>12</v>
      </c>
      <c r="B14" s="1506" t="s">
        <v>14</v>
      </c>
      <c r="C14" s="1506"/>
      <c r="D14" s="3"/>
      <c r="E14" s="3"/>
      <c r="F14" s="3"/>
      <c r="G14" s="3"/>
      <c r="H14" s="3"/>
      <c r="I14" s="3"/>
      <c r="J14" s="3"/>
      <c r="K14" s="3"/>
      <c r="L14" s="3"/>
      <c r="M14" s="3"/>
      <c r="N14" s="3"/>
      <c r="O14" s="3"/>
      <c r="P14" s="3"/>
      <c r="Q14" s="3"/>
      <c r="R14" s="3"/>
      <c r="S14" s="3"/>
      <c r="T14" s="3"/>
      <c r="U14" s="3"/>
      <c r="V14" s="3"/>
      <c r="W14" s="3"/>
      <c r="X14" s="3"/>
      <c r="Y14" s="3"/>
      <c r="Z14" s="3"/>
      <c r="AA14" s="3"/>
      <c r="AB14" s="4"/>
    </row>
    <row r="15" spans="1:28" customFormat="1" ht="15.75" x14ac:dyDescent="0.25">
      <c r="A15" s="1">
        <v>13</v>
      </c>
      <c r="B15" s="1506" t="s">
        <v>15</v>
      </c>
      <c r="C15" s="1506"/>
      <c r="D15" s="3"/>
      <c r="E15" s="3"/>
      <c r="F15" s="3"/>
      <c r="G15" s="3"/>
      <c r="H15" s="3"/>
      <c r="I15" s="3"/>
      <c r="J15" s="3"/>
      <c r="K15" s="3"/>
      <c r="L15" s="3"/>
      <c r="M15" s="3"/>
      <c r="N15" s="3"/>
      <c r="O15" s="3"/>
      <c r="P15" s="3"/>
      <c r="Q15" s="3"/>
      <c r="R15" s="3"/>
      <c r="S15" s="3"/>
      <c r="T15" s="3"/>
      <c r="U15" s="3"/>
      <c r="V15" s="3"/>
      <c r="W15" s="3"/>
      <c r="X15" s="3"/>
      <c r="Y15" s="3"/>
      <c r="Z15" s="3"/>
      <c r="AA15" s="3"/>
      <c r="AB15" s="4"/>
    </row>
    <row r="16" spans="1:28" customFormat="1" ht="15.75" x14ac:dyDescent="0.25">
      <c r="A16" s="1">
        <v>14</v>
      </c>
      <c r="B16" s="1506" t="s">
        <v>16</v>
      </c>
      <c r="C16" s="1506"/>
      <c r="D16" s="3"/>
      <c r="E16" s="3"/>
      <c r="F16" s="3"/>
      <c r="G16" s="3"/>
      <c r="H16" s="3"/>
      <c r="I16" s="3"/>
      <c r="J16" s="3"/>
      <c r="K16" s="3"/>
      <c r="L16" s="3"/>
      <c r="M16" s="3"/>
      <c r="N16" s="3"/>
      <c r="O16" s="3"/>
      <c r="P16" s="3"/>
      <c r="Q16" s="3"/>
      <c r="R16" s="3"/>
      <c r="S16" s="3"/>
      <c r="T16" s="3"/>
      <c r="U16" s="3"/>
      <c r="V16" s="3"/>
      <c r="W16" s="3"/>
      <c r="X16" s="3"/>
      <c r="Y16" s="3"/>
      <c r="Z16" s="3"/>
      <c r="AA16" s="3"/>
      <c r="AB16" s="4"/>
    </row>
    <row r="17" spans="1:28" customFormat="1" ht="15.75" x14ac:dyDescent="0.25">
      <c r="A17" s="180">
        <v>15</v>
      </c>
      <c r="B17" s="1506" t="s">
        <v>275</v>
      </c>
      <c r="C17" s="1506"/>
      <c r="D17" s="3"/>
      <c r="E17" s="3"/>
      <c r="F17" s="3"/>
      <c r="G17" s="3"/>
      <c r="H17" s="3"/>
      <c r="I17" s="3"/>
      <c r="J17" s="3"/>
      <c r="K17" s="3"/>
      <c r="L17" s="3"/>
      <c r="M17" s="3"/>
      <c r="N17" s="3"/>
      <c r="O17" s="3"/>
      <c r="P17" s="3"/>
      <c r="Q17" s="3"/>
      <c r="R17" s="3"/>
      <c r="S17" s="3"/>
      <c r="T17" s="3"/>
      <c r="U17" s="3"/>
      <c r="V17" s="3"/>
      <c r="W17" s="3"/>
      <c r="X17" s="3"/>
      <c r="Y17" s="3"/>
      <c r="Z17" s="3"/>
      <c r="AA17" s="3"/>
      <c r="AB17" s="4"/>
    </row>
    <row r="18" spans="1:28" customFormat="1" ht="15.75" x14ac:dyDescent="0.25">
      <c r="A18" s="180">
        <v>16</v>
      </c>
      <c r="B18" s="1506" t="s">
        <v>17</v>
      </c>
      <c r="C18" s="1506"/>
      <c r="D18" s="3"/>
      <c r="E18" s="3"/>
      <c r="F18" s="3"/>
      <c r="G18" s="3"/>
      <c r="H18" s="3"/>
      <c r="I18" s="3"/>
      <c r="J18" s="3"/>
      <c r="K18" s="3"/>
      <c r="L18" s="3"/>
      <c r="M18" s="3"/>
      <c r="N18" s="3"/>
      <c r="O18" s="3"/>
      <c r="P18" s="3"/>
      <c r="Q18" s="3"/>
      <c r="R18" s="3"/>
      <c r="S18" s="3"/>
      <c r="T18" s="3"/>
      <c r="U18" s="3"/>
      <c r="V18" s="3"/>
      <c r="W18" s="3"/>
      <c r="X18" s="3"/>
      <c r="Y18" s="3"/>
      <c r="Z18" s="3"/>
      <c r="AA18" s="3"/>
      <c r="AB18" s="4"/>
    </row>
    <row r="19" spans="1:28" customFormat="1" ht="15.75" customHeight="1" x14ac:dyDescent="0.25">
      <c r="A19" s="180">
        <v>17</v>
      </c>
      <c r="B19" s="1506" t="s">
        <v>18</v>
      </c>
      <c r="C19" s="1506"/>
      <c r="D19" s="3"/>
      <c r="E19" s="3"/>
      <c r="F19" s="3"/>
      <c r="G19" s="3"/>
      <c r="H19" s="3"/>
      <c r="I19" s="3"/>
      <c r="J19" s="3"/>
      <c r="K19" s="3"/>
      <c r="L19" s="3"/>
      <c r="M19" s="3"/>
      <c r="N19" s="3"/>
      <c r="O19" s="3"/>
      <c r="P19" s="3"/>
      <c r="Q19" s="3"/>
      <c r="R19" s="3"/>
      <c r="S19" s="3"/>
      <c r="T19" s="3"/>
      <c r="U19" s="3"/>
      <c r="V19" s="3"/>
      <c r="W19" s="3"/>
      <c r="X19" s="3"/>
      <c r="Y19" s="3"/>
      <c r="Z19" s="3"/>
      <c r="AA19" s="3"/>
      <c r="AB19" s="4"/>
    </row>
    <row r="20" spans="1:28" customFormat="1" ht="15.75" customHeight="1" x14ac:dyDescent="0.25">
      <c r="A20" s="180">
        <v>18</v>
      </c>
      <c r="B20" s="1506" t="s">
        <v>19</v>
      </c>
      <c r="C20" s="1506"/>
      <c r="D20" s="3"/>
      <c r="E20" s="3"/>
      <c r="F20" s="3"/>
      <c r="G20" s="3"/>
      <c r="H20" s="3"/>
      <c r="I20" s="3"/>
      <c r="J20" s="3"/>
      <c r="K20" s="3"/>
      <c r="L20" s="3"/>
      <c r="M20" s="3"/>
      <c r="N20" s="3"/>
      <c r="O20" s="3"/>
      <c r="P20" s="3"/>
      <c r="Q20" s="3"/>
      <c r="R20" s="3"/>
      <c r="S20" s="3"/>
      <c r="T20" s="3"/>
      <c r="U20" s="3"/>
      <c r="V20" s="3"/>
      <c r="W20" s="3"/>
      <c r="X20" s="3"/>
      <c r="Y20" s="3"/>
      <c r="Z20" s="3"/>
      <c r="AA20" s="3"/>
      <c r="AB20" s="4"/>
    </row>
    <row r="21" spans="1:28" customFormat="1" ht="15.75" customHeight="1" x14ac:dyDescent="0.25">
      <c r="A21" s="180">
        <v>19</v>
      </c>
      <c r="B21" s="1526" t="s">
        <v>20</v>
      </c>
      <c r="C21" s="1526"/>
      <c r="D21" s="3"/>
      <c r="E21" s="3"/>
      <c r="F21" s="3"/>
      <c r="G21" s="3"/>
      <c r="H21" s="3"/>
      <c r="I21" s="3"/>
      <c r="J21" s="3"/>
      <c r="K21" s="3"/>
      <c r="L21" s="3"/>
      <c r="M21" s="3"/>
      <c r="N21" s="3"/>
      <c r="O21" s="3"/>
      <c r="P21" s="3"/>
      <c r="Q21" s="3"/>
      <c r="R21" s="3"/>
      <c r="S21" s="3"/>
      <c r="T21" s="3"/>
      <c r="U21" s="3"/>
      <c r="V21" s="3"/>
      <c r="W21" s="3"/>
      <c r="X21" s="3"/>
      <c r="Y21" s="3"/>
      <c r="Z21" s="3"/>
      <c r="AA21" s="3"/>
      <c r="AB21" s="4"/>
    </row>
    <row r="22" spans="1:28" customFormat="1" ht="15.75" x14ac:dyDescent="0.25">
      <c r="A22" s="1"/>
      <c r="B22" s="1506" t="s">
        <v>2</v>
      </c>
      <c r="C22" s="1506"/>
      <c r="D22" s="3"/>
      <c r="E22" s="3"/>
      <c r="F22" s="3"/>
      <c r="G22" s="3"/>
      <c r="H22" s="3"/>
      <c r="I22" s="3"/>
      <c r="J22" s="3"/>
      <c r="K22" s="3"/>
      <c r="L22" s="3"/>
      <c r="M22" s="3"/>
      <c r="N22" s="3"/>
      <c r="O22" s="3"/>
      <c r="P22" s="3"/>
      <c r="Q22" s="3"/>
      <c r="R22" s="3"/>
      <c r="S22" s="3"/>
      <c r="T22" s="3"/>
      <c r="U22" s="3"/>
      <c r="V22" s="3"/>
      <c r="W22" s="3"/>
      <c r="X22" s="3"/>
      <c r="Y22" s="3"/>
      <c r="Z22" s="3"/>
      <c r="AA22" s="3"/>
      <c r="AB22" s="4"/>
    </row>
    <row r="23" spans="1:28" customFormat="1" ht="15.75" x14ac:dyDescent="0.25">
      <c r="A23" s="5">
        <v>20</v>
      </c>
      <c r="B23" s="1506" t="s">
        <v>21</v>
      </c>
      <c r="C23" s="1506"/>
      <c r="D23" s="3"/>
      <c r="E23" s="3"/>
      <c r="F23" s="3"/>
      <c r="G23" s="3"/>
      <c r="H23" s="3"/>
      <c r="I23" s="3"/>
      <c r="J23" s="3"/>
      <c r="K23" s="3"/>
      <c r="L23" s="3"/>
      <c r="M23" s="3"/>
      <c r="N23" s="3"/>
      <c r="O23" s="3"/>
      <c r="P23" s="3"/>
      <c r="Q23" s="3"/>
      <c r="R23" s="3"/>
      <c r="S23" s="3"/>
      <c r="T23" s="3"/>
      <c r="U23" s="3"/>
      <c r="V23" s="3"/>
      <c r="W23" s="3"/>
      <c r="X23" s="3"/>
      <c r="Y23" s="3"/>
      <c r="Z23" s="3"/>
      <c r="AA23" s="3"/>
      <c r="AB23" s="4"/>
    </row>
    <row r="24" spans="1:28" customFormat="1" ht="15.75" x14ac:dyDescent="0.25">
      <c r="A24" s="1"/>
      <c r="B24" s="1506" t="s">
        <v>22</v>
      </c>
      <c r="C24" s="1506"/>
      <c r="D24" s="3"/>
      <c r="E24" s="3"/>
      <c r="F24" s="3"/>
      <c r="G24" s="3"/>
      <c r="H24" s="3"/>
      <c r="I24" s="3"/>
      <c r="J24" s="3"/>
      <c r="K24" s="3"/>
      <c r="L24" s="3"/>
      <c r="M24" s="3"/>
      <c r="N24" s="3"/>
      <c r="O24" s="3"/>
      <c r="P24" s="3"/>
      <c r="Q24" s="3"/>
      <c r="R24" s="3"/>
      <c r="S24" s="3"/>
      <c r="T24" s="3"/>
      <c r="U24" s="3"/>
      <c r="V24" s="3"/>
      <c r="W24" s="3"/>
      <c r="X24" s="3"/>
      <c r="Y24" s="3"/>
      <c r="Z24" s="3"/>
      <c r="AA24" s="3"/>
      <c r="AB24" s="4"/>
    </row>
  </sheetData>
  <mergeCells count="49">
    <mergeCell ref="G1:G2"/>
    <mergeCell ref="B17:C17"/>
    <mergeCell ref="A1:A2"/>
    <mergeCell ref="B1:C2"/>
    <mergeCell ref="D1:D2"/>
    <mergeCell ref="E1:E2"/>
    <mergeCell ref="F1:F2"/>
    <mergeCell ref="B11:C11"/>
    <mergeCell ref="B5:C5"/>
    <mergeCell ref="B6:C6"/>
    <mergeCell ref="B7:C7"/>
    <mergeCell ref="B8:C8"/>
    <mergeCell ref="B9:C9"/>
    <mergeCell ref="B10:C10"/>
    <mergeCell ref="S1:S2"/>
    <mergeCell ref="H1:H2"/>
    <mergeCell ref="I1:I2"/>
    <mergeCell ref="J1:J2"/>
    <mergeCell ref="K1:K2"/>
    <mergeCell ref="L1:L2"/>
    <mergeCell ref="M1:M2"/>
    <mergeCell ref="Z1:Z2"/>
    <mergeCell ref="AA1:AA2"/>
    <mergeCell ref="AB1:AB2"/>
    <mergeCell ref="B3:C3"/>
    <mergeCell ref="B4:C4"/>
    <mergeCell ref="T1:T2"/>
    <mergeCell ref="U1:U2"/>
    <mergeCell ref="V1:V2"/>
    <mergeCell ref="W1:W2"/>
    <mergeCell ref="X1:X2"/>
    <mergeCell ref="Y1:Y2"/>
    <mergeCell ref="N1:N2"/>
    <mergeCell ref="O1:O2"/>
    <mergeCell ref="P1:P2"/>
    <mergeCell ref="Q1:Q2"/>
    <mergeCell ref="R1:R2"/>
    <mergeCell ref="B24:C24"/>
    <mergeCell ref="B12:C12"/>
    <mergeCell ref="B13:C13"/>
    <mergeCell ref="B14:C14"/>
    <mergeCell ref="B15:C15"/>
    <mergeCell ref="B16:C16"/>
    <mergeCell ref="B18:C18"/>
    <mergeCell ref="B19:C19"/>
    <mergeCell ref="B20:C20"/>
    <mergeCell ref="B21:C21"/>
    <mergeCell ref="B22:C22"/>
    <mergeCell ref="B23:C2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4"/>
  <sheetViews>
    <sheetView workbookViewId="0">
      <selection activeCell="D1" sqref="D1:D2"/>
    </sheetView>
  </sheetViews>
  <sheetFormatPr defaultRowHeight="15" x14ac:dyDescent="0.25"/>
  <cols>
    <col min="1" max="1" width="7.7109375" style="6" customWidth="1"/>
    <col min="2" max="2" width="28.140625" style="6" customWidth="1"/>
    <col min="3" max="3" width="19.42578125" style="6" customWidth="1"/>
    <col min="4" max="27" width="11.5703125" style="7" customWidth="1"/>
    <col min="28" max="28" width="10" style="6" bestFit="1" customWidth="1"/>
    <col min="29" max="16384" width="9.140625" style="6"/>
  </cols>
  <sheetData>
    <row r="1" spans="1:28" customFormat="1" x14ac:dyDescent="0.25">
      <c r="A1" s="1498" t="s">
        <v>0</v>
      </c>
      <c r="B1" s="1498" t="s">
        <v>1</v>
      </c>
      <c r="C1" s="1498"/>
      <c r="D1" s="982"/>
      <c r="E1" s="982"/>
      <c r="F1" s="982"/>
      <c r="G1" s="982"/>
      <c r="H1" s="982"/>
      <c r="I1" s="982"/>
      <c r="J1" s="982"/>
      <c r="K1" s="982"/>
      <c r="L1" s="982"/>
      <c r="M1" s="982"/>
      <c r="N1" s="982"/>
      <c r="O1" s="982"/>
      <c r="P1" s="982"/>
      <c r="Q1" s="982"/>
      <c r="R1" s="982"/>
      <c r="S1" s="982"/>
      <c r="T1" s="982"/>
      <c r="U1" s="982"/>
      <c r="V1" s="982"/>
      <c r="W1" s="982"/>
      <c r="X1" s="982"/>
      <c r="Y1" s="982"/>
      <c r="Z1" s="982"/>
      <c r="AA1" s="982"/>
      <c r="AB1" s="982"/>
    </row>
    <row r="2" spans="1:28" customFormat="1" x14ac:dyDescent="0.25">
      <c r="A2" s="1498"/>
      <c r="B2" s="1498"/>
      <c r="C2" s="1498"/>
      <c r="D2" s="982"/>
      <c r="E2" s="982"/>
      <c r="F2" s="982"/>
      <c r="G2" s="982"/>
      <c r="H2" s="982"/>
      <c r="I2" s="982"/>
      <c r="J2" s="982"/>
      <c r="K2" s="982"/>
      <c r="L2" s="982"/>
      <c r="M2" s="982"/>
      <c r="N2" s="982"/>
      <c r="O2" s="982"/>
      <c r="P2" s="982"/>
      <c r="Q2" s="982"/>
      <c r="R2" s="982"/>
      <c r="S2" s="982"/>
      <c r="T2" s="982"/>
      <c r="U2" s="982"/>
      <c r="V2" s="982"/>
      <c r="W2" s="982"/>
      <c r="X2" s="982"/>
      <c r="Y2" s="982"/>
      <c r="Z2" s="982"/>
      <c r="AA2" s="982"/>
      <c r="AB2" s="982"/>
    </row>
    <row r="3" spans="1:28" customFormat="1" ht="15.75" x14ac:dyDescent="0.25">
      <c r="A3" s="1">
        <v>1</v>
      </c>
      <c r="B3" s="1506" t="s">
        <v>3</v>
      </c>
      <c r="C3" s="1506"/>
      <c r="D3" s="3"/>
      <c r="E3" s="3"/>
      <c r="F3" s="3"/>
      <c r="G3" s="3"/>
      <c r="H3" s="3"/>
      <c r="I3" s="3"/>
      <c r="J3" s="3"/>
      <c r="K3" s="3"/>
      <c r="L3" s="3"/>
      <c r="M3" s="3"/>
      <c r="N3" s="3"/>
      <c r="O3" s="3"/>
      <c r="P3" s="3"/>
      <c r="Q3" s="3"/>
      <c r="R3" s="3"/>
      <c r="S3" s="3"/>
      <c r="T3" s="3"/>
      <c r="U3" s="3"/>
      <c r="V3" s="3"/>
      <c r="W3" s="3"/>
      <c r="X3" s="3"/>
      <c r="Y3" s="3"/>
      <c r="Z3" s="3"/>
      <c r="AA3" s="3"/>
      <c r="AB3" s="4"/>
    </row>
    <row r="4" spans="1:28" customFormat="1" ht="15.75" x14ac:dyDescent="0.25">
      <c r="A4" s="1">
        <v>2</v>
      </c>
      <c r="B4" s="1506" t="s">
        <v>4</v>
      </c>
      <c r="C4" s="1506"/>
      <c r="D4" s="3"/>
      <c r="E4" s="3"/>
      <c r="F4" s="3"/>
      <c r="G4" s="3"/>
      <c r="H4" s="3"/>
      <c r="I4" s="3"/>
      <c r="J4" s="3"/>
      <c r="K4" s="3"/>
      <c r="L4" s="3"/>
      <c r="M4" s="3"/>
      <c r="N4" s="3"/>
      <c r="O4" s="3"/>
      <c r="P4" s="3"/>
      <c r="Q4" s="3"/>
      <c r="R4" s="3"/>
      <c r="S4" s="3"/>
      <c r="T4" s="3"/>
      <c r="U4" s="3"/>
      <c r="V4" s="3"/>
      <c r="W4" s="3"/>
      <c r="X4" s="3"/>
      <c r="Y4" s="3"/>
      <c r="Z4" s="3"/>
      <c r="AA4" s="3"/>
      <c r="AB4" s="4"/>
    </row>
    <row r="5" spans="1:28" customFormat="1" ht="15.75" x14ac:dyDescent="0.25">
      <c r="A5" s="1">
        <v>3</v>
      </c>
      <c r="B5" s="1506" t="s">
        <v>5</v>
      </c>
      <c r="C5" s="1506"/>
      <c r="D5" s="3"/>
      <c r="E5" s="3"/>
      <c r="F5" s="3"/>
      <c r="G5" s="3"/>
      <c r="H5" s="3"/>
      <c r="I5" s="3"/>
      <c r="J5" s="3"/>
      <c r="K5" s="3"/>
      <c r="L5" s="3"/>
      <c r="M5" s="3"/>
      <c r="N5" s="3"/>
      <c r="O5" s="3"/>
      <c r="P5" s="3"/>
      <c r="Q5" s="3"/>
      <c r="R5" s="3"/>
      <c r="S5" s="3"/>
      <c r="T5" s="3"/>
      <c r="U5" s="3"/>
      <c r="V5" s="3"/>
      <c r="W5" s="3"/>
      <c r="X5" s="3"/>
      <c r="Y5" s="3"/>
      <c r="Z5" s="3"/>
      <c r="AA5" s="3"/>
      <c r="AB5" s="4"/>
    </row>
    <row r="6" spans="1:28" customFormat="1" ht="15.75" x14ac:dyDescent="0.25">
      <c r="A6" s="1">
        <v>4</v>
      </c>
      <c r="B6" s="1506" t="s">
        <v>6</v>
      </c>
      <c r="C6" s="1506"/>
      <c r="D6" s="3"/>
      <c r="E6" s="3"/>
      <c r="F6" s="3"/>
      <c r="G6" s="3"/>
      <c r="H6" s="3"/>
      <c r="I6" s="3"/>
      <c r="J6" s="3"/>
      <c r="K6" s="3"/>
      <c r="L6" s="3"/>
      <c r="M6" s="3"/>
      <c r="N6" s="3"/>
      <c r="O6" s="3"/>
      <c r="P6" s="3"/>
      <c r="Q6" s="3"/>
      <c r="R6" s="3"/>
      <c r="S6" s="3"/>
      <c r="T6" s="3"/>
      <c r="U6" s="3"/>
      <c r="V6" s="3"/>
      <c r="W6" s="3"/>
      <c r="X6" s="3"/>
      <c r="Y6" s="3"/>
      <c r="Z6" s="3"/>
      <c r="AA6" s="3"/>
      <c r="AB6" s="4"/>
    </row>
    <row r="7" spans="1:28" customFormat="1" ht="15.75" x14ac:dyDescent="0.25">
      <c r="A7" s="1">
        <v>5</v>
      </c>
      <c r="B7" s="1506" t="s">
        <v>7</v>
      </c>
      <c r="C7" s="1506"/>
      <c r="D7" s="3"/>
      <c r="E7" s="3"/>
      <c r="F7" s="3"/>
      <c r="G7" s="3"/>
      <c r="H7" s="3"/>
      <c r="I7" s="3"/>
      <c r="J7" s="3"/>
      <c r="K7" s="3"/>
      <c r="L7" s="3"/>
      <c r="M7" s="3"/>
      <c r="N7" s="3"/>
      <c r="O7" s="3"/>
      <c r="P7" s="3"/>
      <c r="Q7" s="3"/>
      <c r="R7" s="3"/>
      <c r="S7" s="3"/>
      <c r="T7" s="3"/>
      <c r="U7" s="3"/>
      <c r="V7" s="3"/>
      <c r="W7" s="3"/>
      <c r="X7" s="3"/>
      <c r="Y7" s="3"/>
      <c r="Z7" s="3"/>
      <c r="AA7" s="3"/>
      <c r="AB7" s="4"/>
    </row>
    <row r="8" spans="1:28" customFormat="1" ht="15.75" x14ac:dyDescent="0.25">
      <c r="A8" s="1">
        <v>6</v>
      </c>
      <c r="B8" s="1506" t="s">
        <v>8</v>
      </c>
      <c r="C8" s="1506"/>
      <c r="D8" s="3"/>
      <c r="E8" s="3"/>
      <c r="F8" s="3"/>
      <c r="G8" s="3"/>
      <c r="H8" s="3"/>
      <c r="I8" s="3"/>
      <c r="J8" s="3"/>
      <c r="K8" s="3"/>
      <c r="L8" s="3"/>
      <c r="M8" s="3"/>
      <c r="N8" s="3"/>
      <c r="O8" s="3"/>
      <c r="P8" s="3"/>
      <c r="Q8" s="3"/>
      <c r="R8" s="3"/>
      <c r="S8" s="3"/>
      <c r="T8" s="3"/>
      <c r="U8" s="3"/>
      <c r="V8" s="3"/>
      <c r="W8" s="3"/>
      <c r="X8" s="3"/>
      <c r="Y8" s="3"/>
      <c r="Z8" s="3"/>
      <c r="AA8" s="3"/>
      <c r="AB8" s="4"/>
    </row>
    <row r="9" spans="1:28" customFormat="1" ht="15.75" x14ac:dyDescent="0.25">
      <c r="A9" s="1">
        <v>7</v>
      </c>
      <c r="B9" s="1506" t="s">
        <v>9</v>
      </c>
      <c r="C9" s="1506"/>
      <c r="D9" s="3"/>
      <c r="E9" s="3"/>
      <c r="F9" s="3"/>
      <c r="G9" s="3"/>
      <c r="H9" s="3"/>
      <c r="I9" s="3"/>
      <c r="J9" s="3"/>
      <c r="K9" s="3"/>
      <c r="L9" s="3"/>
      <c r="M9" s="3"/>
      <c r="N9" s="3"/>
      <c r="O9" s="3"/>
      <c r="P9" s="3"/>
      <c r="Q9" s="3"/>
      <c r="R9" s="3"/>
      <c r="S9" s="3"/>
      <c r="T9" s="3"/>
      <c r="U9" s="3"/>
      <c r="V9" s="3"/>
      <c r="W9" s="3"/>
      <c r="X9" s="3"/>
      <c r="Y9" s="3"/>
      <c r="Z9" s="3"/>
      <c r="AA9" s="3"/>
      <c r="AB9" s="4"/>
    </row>
    <row r="10" spans="1:28" customFormat="1" ht="15.75" x14ac:dyDescent="0.25">
      <c r="A10" s="1">
        <v>8</v>
      </c>
      <c r="B10" s="1506" t="s">
        <v>10</v>
      </c>
      <c r="C10" s="1506"/>
      <c r="D10" s="3"/>
      <c r="E10" s="3"/>
      <c r="F10" s="3"/>
      <c r="G10" s="3"/>
      <c r="H10" s="3"/>
      <c r="I10" s="3"/>
      <c r="J10" s="3"/>
      <c r="K10" s="3"/>
      <c r="L10" s="3"/>
      <c r="M10" s="3"/>
      <c r="N10" s="3"/>
      <c r="O10" s="3"/>
      <c r="P10" s="3"/>
      <c r="Q10" s="3"/>
      <c r="R10" s="3"/>
      <c r="S10" s="3"/>
      <c r="T10" s="3"/>
      <c r="U10" s="3"/>
      <c r="V10" s="3"/>
      <c r="W10" s="3"/>
      <c r="X10" s="3"/>
      <c r="Y10" s="3"/>
      <c r="Z10" s="3"/>
      <c r="AA10" s="3"/>
      <c r="AB10" s="4"/>
    </row>
    <row r="11" spans="1:28" customFormat="1" ht="15.75" x14ac:dyDescent="0.25">
      <c r="A11" s="1">
        <v>9</v>
      </c>
      <c r="B11" s="1506" t="s">
        <v>11</v>
      </c>
      <c r="C11" s="1506"/>
      <c r="D11" s="3"/>
      <c r="E11" s="3"/>
      <c r="F11" s="3"/>
      <c r="G11" s="3"/>
      <c r="H11" s="3"/>
      <c r="I11" s="3"/>
      <c r="J11" s="3"/>
      <c r="K11" s="3"/>
      <c r="L11" s="3"/>
      <c r="M11" s="3"/>
      <c r="N11" s="3"/>
      <c r="O11" s="3"/>
      <c r="P11" s="3"/>
      <c r="Q11" s="3"/>
      <c r="R11" s="3"/>
      <c r="S11" s="3"/>
      <c r="T11" s="3"/>
      <c r="U11" s="3"/>
      <c r="V11" s="3"/>
      <c r="W11" s="3"/>
      <c r="X11" s="3"/>
      <c r="Y11" s="3"/>
      <c r="Z11" s="3"/>
      <c r="AA11" s="3"/>
      <c r="AB11" s="4"/>
    </row>
    <row r="12" spans="1:28" customFormat="1" ht="15.75" x14ac:dyDescent="0.25">
      <c r="A12" s="1">
        <v>10</v>
      </c>
      <c r="B12" s="1506" t="s">
        <v>12</v>
      </c>
      <c r="C12" s="1506"/>
      <c r="D12" s="3"/>
      <c r="E12" s="3"/>
      <c r="F12" s="3"/>
      <c r="G12" s="3"/>
      <c r="H12" s="3"/>
      <c r="I12" s="3"/>
      <c r="J12" s="3"/>
      <c r="K12" s="3"/>
      <c r="L12" s="3"/>
      <c r="M12" s="3"/>
      <c r="N12" s="3"/>
      <c r="O12" s="3"/>
      <c r="P12" s="3"/>
      <c r="Q12" s="3"/>
      <c r="R12" s="3"/>
      <c r="S12" s="3"/>
      <c r="T12" s="3"/>
      <c r="U12" s="3"/>
      <c r="V12" s="3"/>
      <c r="W12" s="3"/>
      <c r="X12" s="3"/>
      <c r="Y12" s="3"/>
      <c r="Z12" s="3"/>
      <c r="AA12" s="3"/>
      <c r="AB12" s="4"/>
    </row>
    <row r="13" spans="1:28" customFormat="1" ht="15.75" x14ac:dyDescent="0.25">
      <c r="A13" s="1">
        <v>11</v>
      </c>
      <c r="B13" s="1506" t="s">
        <v>13</v>
      </c>
      <c r="C13" s="1506"/>
      <c r="D13" s="3"/>
      <c r="E13" s="3"/>
      <c r="F13" s="3"/>
      <c r="G13" s="3"/>
      <c r="H13" s="3"/>
      <c r="I13" s="3"/>
      <c r="J13" s="3"/>
      <c r="K13" s="3"/>
      <c r="L13" s="3"/>
      <c r="M13" s="3"/>
      <c r="N13" s="3"/>
      <c r="O13" s="3"/>
      <c r="P13" s="3"/>
      <c r="Q13" s="3"/>
      <c r="R13" s="3"/>
      <c r="S13" s="3"/>
      <c r="T13" s="3"/>
      <c r="U13" s="3"/>
      <c r="V13" s="3"/>
      <c r="W13" s="3"/>
      <c r="X13" s="3"/>
      <c r="Y13" s="3"/>
      <c r="Z13" s="3"/>
      <c r="AA13" s="3"/>
      <c r="AB13" s="4"/>
    </row>
    <row r="14" spans="1:28" customFormat="1" ht="15.75" x14ac:dyDescent="0.25">
      <c r="A14" s="1">
        <v>12</v>
      </c>
      <c r="B14" s="1506" t="s">
        <v>14</v>
      </c>
      <c r="C14" s="1506"/>
      <c r="D14" s="3"/>
      <c r="E14" s="3"/>
      <c r="F14" s="3"/>
      <c r="G14" s="3"/>
      <c r="H14" s="3"/>
      <c r="I14" s="3"/>
      <c r="J14" s="3"/>
      <c r="K14" s="3"/>
      <c r="L14" s="3"/>
      <c r="M14" s="3"/>
      <c r="N14" s="3"/>
      <c r="O14" s="3"/>
      <c r="P14" s="3"/>
      <c r="Q14" s="3"/>
      <c r="R14" s="3"/>
      <c r="S14" s="3"/>
      <c r="T14" s="3"/>
      <c r="U14" s="3"/>
      <c r="V14" s="3"/>
      <c r="W14" s="3"/>
      <c r="X14" s="3"/>
      <c r="Y14" s="3"/>
      <c r="Z14" s="3"/>
      <c r="AA14" s="3"/>
      <c r="AB14" s="4"/>
    </row>
    <row r="15" spans="1:28" customFormat="1" ht="15.75" x14ac:dyDescent="0.25">
      <c r="A15" s="1">
        <v>13</v>
      </c>
      <c r="B15" s="1506" t="s">
        <v>15</v>
      </c>
      <c r="C15" s="1506"/>
      <c r="D15" s="3"/>
      <c r="E15" s="3"/>
      <c r="F15" s="3"/>
      <c r="G15" s="3"/>
      <c r="H15" s="3"/>
      <c r="I15" s="3"/>
      <c r="J15" s="3"/>
      <c r="K15" s="3"/>
      <c r="L15" s="3"/>
      <c r="M15" s="3"/>
      <c r="N15" s="3"/>
      <c r="O15" s="3"/>
      <c r="P15" s="3"/>
      <c r="Q15" s="3"/>
      <c r="R15" s="3"/>
      <c r="S15" s="3"/>
      <c r="T15" s="3"/>
      <c r="U15" s="3"/>
      <c r="V15" s="3"/>
      <c r="W15" s="3"/>
      <c r="X15" s="3"/>
      <c r="Y15" s="3"/>
      <c r="Z15" s="3"/>
      <c r="AA15" s="3"/>
      <c r="AB15" s="4"/>
    </row>
    <row r="16" spans="1:28" customFormat="1" ht="15.75" x14ac:dyDescent="0.25">
      <c r="A16" s="1">
        <v>14</v>
      </c>
      <c r="B16" s="1506" t="s">
        <v>16</v>
      </c>
      <c r="C16" s="1506"/>
      <c r="D16" s="3"/>
      <c r="E16" s="3"/>
      <c r="F16" s="3"/>
      <c r="G16" s="3"/>
      <c r="H16" s="3"/>
      <c r="I16" s="3"/>
      <c r="J16" s="3"/>
      <c r="K16" s="3"/>
      <c r="L16" s="3"/>
      <c r="M16" s="3"/>
      <c r="N16" s="3"/>
      <c r="O16" s="3"/>
      <c r="P16" s="3"/>
      <c r="Q16" s="3"/>
      <c r="R16" s="3"/>
      <c r="S16" s="3"/>
      <c r="T16" s="3"/>
      <c r="U16" s="3"/>
      <c r="V16" s="3"/>
      <c r="W16" s="3"/>
      <c r="X16" s="3"/>
      <c r="Y16" s="3"/>
      <c r="Z16" s="3"/>
      <c r="AA16" s="3"/>
      <c r="AB16" s="4"/>
    </row>
    <row r="17" spans="1:28" customFormat="1" ht="15.75" x14ac:dyDescent="0.25">
      <c r="A17" s="180">
        <v>15</v>
      </c>
      <c r="B17" s="1506" t="s">
        <v>275</v>
      </c>
      <c r="C17" s="1506"/>
      <c r="D17" s="3"/>
      <c r="E17" s="3"/>
      <c r="F17" s="3"/>
      <c r="G17" s="3"/>
      <c r="H17" s="3"/>
      <c r="I17" s="3"/>
      <c r="J17" s="3"/>
      <c r="K17" s="3"/>
      <c r="L17" s="3"/>
      <c r="M17" s="3"/>
      <c r="N17" s="3"/>
      <c r="O17" s="3"/>
      <c r="P17" s="3"/>
      <c r="Q17" s="3"/>
      <c r="R17" s="3"/>
      <c r="S17" s="3"/>
      <c r="T17" s="3"/>
      <c r="U17" s="3"/>
      <c r="V17" s="3"/>
      <c r="W17" s="3"/>
      <c r="X17" s="3"/>
      <c r="Y17" s="3"/>
      <c r="Z17" s="3"/>
      <c r="AA17" s="3"/>
      <c r="AB17" s="4"/>
    </row>
    <row r="18" spans="1:28" customFormat="1" ht="15.75" x14ac:dyDescent="0.25">
      <c r="A18" s="180">
        <v>16</v>
      </c>
      <c r="B18" s="1506" t="s">
        <v>17</v>
      </c>
      <c r="C18" s="1506"/>
      <c r="D18" s="3"/>
      <c r="E18" s="3"/>
      <c r="F18" s="3"/>
      <c r="G18" s="3"/>
      <c r="H18" s="3"/>
      <c r="I18" s="3"/>
      <c r="J18" s="3"/>
      <c r="K18" s="3"/>
      <c r="L18" s="3"/>
      <c r="M18" s="3"/>
      <c r="N18" s="3"/>
      <c r="O18" s="3"/>
      <c r="P18" s="3"/>
      <c r="Q18" s="3"/>
      <c r="R18" s="3"/>
      <c r="S18" s="3"/>
      <c r="T18" s="3"/>
      <c r="U18" s="3"/>
      <c r="V18" s="3"/>
      <c r="W18" s="3"/>
      <c r="X18" s="3"/>
      <c r="Y18" s="3"/>
      <c r="Z18" s="3"/>
      <c r="AA18" s="3"/>
      <c r="AB18" s="4"/>
    </row>
    <row r="19" spans="1:28" customFormat="1" ht="15.75" customHeight="1" x14ac:dyDescent="0.25">
      <c r="A19" s="180">
        <v>17</v>
      </c>
      <c r="B19" s="1506" t="s">
        <v>18</v>
      </c>
      <c r="C19" s="1506"/>
      <c r="D19" s="3"/>
      <c r="E19" s="3"/>
      <c r="F19" s="3"/>
      <c r="G19" s="3"/>
      <c r="H19" s="3"/>
      <c r="I19" s="3"/>
      <c r="J19" s="3"/>
      <c r="K19" s="3"/>
      <c r="L19" s="3"/>
      <c r="M19" s="3"/>
      <c r="N19" s="3"/>
      <c r="O19" s="3"/>
      <c r="P19" s="3"/>
      <c r="Q19" s="3"/>
      <c r="R19" s="3"/>
      <c r="S19" s="3"/>
      <c r="T19" s="3"/>
      <c r="U19" s="3"/>
      <c r="V19" s="3"/>
      <c r="W19" s="3"/>
      <c r="X19" s="3"/>
      <c r="Y19" s="3"/>
      <c r="Z19" s="3"/>
      <c r="AA19" s="3"/>
      <c r="AB19" s="4"/>
    </row>
    <row r="20" spans="1:28" customFormat="1" ht="15.75" customHeight="1" x14ac:dyDescent="0.25">
      <c r="A20" s="180">
        <v>18</v>
      </c>
      <c r="B20" s="1506" t="s">
        <v>19</v>
      </c>
      <c r="C20" s="1506"/>
      <c r="D20" s="3"/>
      <c r="E20" s="3"/>
      <c r="F20" s="3"/>
      <c r="G20" s="3"/>
      <c r="H20" s="3"/>
      <c r="I20" s="3"/>
      <c r="J20" s="3"/>
      <c r="K20" s="3"/>
      <c r="L20" s="3"/>
      <c r="M20" s="3"/>
      <c r="N20" s="3"/>
      <c r="O20" s="3"/>
      <c r="P20" s="3"/>
      <c r="Q20" s="3"/>
      <c r="R20" s="3"/>
      <c r="S20" s="3"/>
      <c r="T20" s="3"/>
      <c r="U20" s="3"/>
      <c r="V20" s="3"/>
      <c r="W20" s="3"/>
      <c r="X20" s="3"/>
      <c r="Y20" s="3"/>
      <c r="Z20" s="3"/>
      <c r="AA20" s="3"/>
      <c r="AB20" s="4"/>
    </row>
    <row r="21" spans="1:28" customFormat="1" ht="15.75" customHeight="1" x14ac:dyDescent="0.25">
      <c r="A21" s="180">
        <v>19</v>
      </c>
      <c r="B21" s="1526" t="s">
        <v>20</v>
      </c>
      <c r="C21" s="1526"/>
      <c r="D21" s="3"/>
      <c r="E21" s="3"/>
      <c r="F21" s="3"/>
      <c r="G21" s="3"/>
      <c r="H21" s="3"/>
      <c r="I21" s="3"/>
      <c r="J21" s="3"/>
      <c r="K21" s="3"/>
      <c r="L21" s="3"/>
      <c r="M21" s="3"/>
      <c r="N21" s="3"/>
      <c r="O21" s="3"/>
      <c r="P21" s="3"/>
      <c r="Q21" s="3"/>
      <c r="R21" s="3"/>
      <c r="S21" s="3"/>
      <c r="T21" s="3"/>
      <c r="U21" s="3"/>
      <c r="V21" s="3"/>
      <c r="W21" s="3"/>
      <c r="X21" s="3"/>
      <c r="Y21" s="3"/>
      <c r="Z21" s="3"/>
      <c r="AA21" s="3"/>
      <c r="AB21" s="4"/>
    </row>
    <row r="22" spans="1:28" customFormat="1" ht="15.75" x14ac:dyDescent="0.25">
      <c r="A22" s="1"/>
      <c r="B22" s="1506" t="s">
        <v>2</v>
      </c>
      <c r="C22" s="1506"/>
      <c r="D22" s="3"/>
      <c r="E22" s="3"/>
      <c r="F22" s="3"/>
      <c r="G22" s="3"/>
      <c r="H22" s="3"/>
      <c r="I22" s="3"/>
      <c r="J22" s="3"/>
      <c r="K22" s="3"/>
      <c r="L22" s="3"/>
      <c r="M22" s="3"/>
      <c r="N22" s="3"/>
      <c r="O22" s="3"/>
      <c r="P22" s="3"/>
      <c r="Q22" s="3"/>
      <c r="R22" s="3"/>
      <c r="S22" s="3"/>
      <c r="T22" s="3"/>
      <c r="U22" s="3"/>
      <c r="V22" s="3"/>
      <c r="W22" s="3"/>
      <c r="X22" s="3"/>
      <c r="Y22" s="3"/>
      <c r="Z22" s="3"/>
      <c r="AA22" s="3"/>
      <c r="AB22" s="4"/>
    </row>
    <row r="23" spans="1:28" customFormat="1" ht="15.75" x14ac:dyDescent="0.25">
      <c r="A23" s="5">
        <v>20</v>
      </c>
      <c r="B23" s="1506" t="s">
        <v>21</v>
      </c>
      <c r="C23" s="1506"/>
      <c r="D23" s="3"/>
      <c r="E23" s="3"/>
      <c r="F23" s="3"/>
      <c r="G23" s="3"/>
      <c r="H23" s="3"/>
      <c r="I23" s="3"/>
      <c r="J23" s="3"/>
      <c r="K23" s="3"/>
      <c r="L23" s="3"/>
      <c r="M23" s="3"/>
      <c r="N23" s="3"/>
      <c r="O23" s="3"/>
      <c r="P23" s="3"/>
      <c r="Q23" s="3"/>
      <c r="R23" s="3"/>
      <c r="S23" s="3"/>
      <c r="T23" s="3"/>
      <c r="U23" s="3"/>
      <c r="V23" s="3"/>
      <c r="W23" s="3"/>
      <c r="X23" s="3"/>
      <c r="Y23" s="3"/>
      <c r="Z23" s="3"/>
      <c r="AA23" s="3"/>
      <c r="AB23" s="4"/>
    </row>
    <row r="24" spans="1:28" customFormat="1" ht="15.75" x14ac:dyDescent="0.25">
      <c r="A24" s="1"/>
      <c r="B24" s="1506" t="s">
        <v>22</v>
      </c>
      <c r="C24" s="1506"/>
      <c r="D24" s="3"/>
      <c r="E24" s="3"/>
      <c r="F24" s="3"/>
      <c r="G24" s="3"/>
      <c r="H24" s="3"/>
      <c r="I24" s="3"/>
      <c r="J24" s="3"/>
      <c r="K24" s="3"/>
      <c r="L24" s="3"/>
      <c r="M24" s="3"/>
      <c r="N24" s="3"/>
      <c r="O24" s="3"/>
      <c r="P24" s="3"/>
      <c r="Q24" s="3"/>
      <c r="R24" s="3"/>
      <c r="S24" s="3"/>
      <c r="T24" s="3"/>
      <c r="U24" s="3"/>
      <c r="V24" s="3"/>
      <c r="W24" s="3"/>
      <c r="X24" s="3"/>
      <c r="Y24" s="3"/>
      <c r="Z24" s="3"/>
      <c r="AA24" s="3"/>
      <c r="AB24" s="4"/>
    </row>
  </sheetData>
  <mergeCells count="49">
    <mergeCell ref="A1:A2"/>
    <mergeCell ref="B1:C2"/>
    <mergeCell ref="D1:D2"/>
    <mergeCell ref="E1:E2"/>
    <mergeCell ref="F1:F2"/>
    <mergeCell ref="B5:C5"/>
    <mergeCell ref="T1:T2"/>
    <mergeCell ref="U1:U2"/>
    <mergeCell ref="V1:V2"/>
    <mergeCell ref="W1:W2"/>
    <mergeCell ref="N1:N2"/>
    <mergeCell ref="O1:O2"/>
    <mergeCell ref="P1:P2"/>
    <mergeCell ref="Q1:Q2"/>
    <mergeCell ref="R1:R2"/>
    <mergeCell ref="S1:S2"/>
    <mergeCell ref="H1:H2"/>
    <mergeCell ref="I1:I2"/>
    <mergeCell ref="J1:J2"/>
    <mergeCell ref="K1:K2"/>
    <mergeCell ref="L1:L2"/>
    <mergeCell ref="Z1:Z2"/>
    <mergeCell ref="AA1:AA2"/>
    <mergeCell ref="AB1:AB2"/>
    <mergeCell ref="B3:C3"/>
    <mergeCell ref="B4:C4"/>
    <mergeCell ref="X1:X2"/>
    <mergeCell ref="Y1:Y2"/>
    <mergeCell ref="M1:M2"/>
    <mergeCell ref="G1:G2"/>
    <mergeCell ref="B17:C17"/>
    <mergeCell ref="B6:C6"/>
    <mergeCell ref="B7:C7"/>
    <mergeCell ref="B8:C8"/>
    <mergeCell ref="B9:C9"/>
    <mergeCell ref="B10:C10"/>
    <mergeCell ref="B11:C11"/>
    <mergeCell ref="B12:C12"/>
    <mergeCell ref="B13:C13"/>
    <mergeCell ref="B14:C14"/>
    <mergeCell ref="B15:C15"/>
    <mergeCell ref="B16:C16"/>
    <mergeCell ref="B24:C24"/>
    <mergeCell ref="B18:C18"/>
    <mergeCell ref="B19:C19"/>
    <mergeCell ref="B20:C20"/>
    <mergeCell ref="B21:C21"/>
    <mergeCell ref="B22:C22"/>
    <mergeCell ref="B23:C2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workbookViewId="0">
      <selection activeCell="G2" sqref="G2"/>
    </sheetView>
  </sheetViews>
  <sheetFormatPr defaultRowHeight="15" x14ac:dyDescent="0.25"/>
  <cols>
    <col min="2" max="2" width="15" customWidth="1"/>
    <col min="3" max="8" width="13.85546875" customWidth="1"/>
  </cols>
  <sheetData>
    <row r="1" spans="1:13" ht="15.75" x14ac:dyDescent="0.25">
      <c r="D1" s="1499" t="s">
        <v>282</v>
      </c>
      <c r="E1" s="1499"/>
      <c r="F1" s="1499" t="s">
        <v>825</v>
      </c>
      <c r="G1" s="1499"/>
      <c r="H1" s="1499"/>
      <c r="I1" t="s">
        <v>274</v>
      </c>
    </row>
    <row r="2" spans="1:13" s="70" customFormat="1" ht="51" x14ac:dyDescent="0.25">
      <c r="A2" s="498" t="s">
        <v>0</v>
      </c>
      <c r="B2" s="1500" t="s">
        <v>1</v>
      </c>
      <c r="C2" s="1610"/>
      <c r="D2" s="498" t="s">
        <v>42</v>
      </c>
      <c r="E2" s="498" t="s">
        <v>215</v>
      </c>
      <c r="F2" s="498" t="s">
        <v>42</v>
      </c>
      <c r="G2" s="184" t="s">
        <v>216</v>
      </c>
      <c r="H2" s="498" t="s">
        <v>949</v>
      </c>
      <c r="I2" s="173" t="s">
        <v>269</v>
      </c>
      <c r="J2" s="173" t="s">
        <v>270</v>
      </c>
      <c r="K2" s="173" t="s">
        <v>271</v>
      </c>
      <c r="L2" s="173" t="s">
        <v>272</v>
      </c>
      <c r="M2" s="173" t="s">
        <v>273</v>
      </c>
    </row>
    <row r="3" spans="1:13" ht="15.75" x14ac:dyDescent="0.25">
      <c r="A3" s="1">
        <v>1</v>
      </c>
      <c r="B3" s="1506" t="s">
        <v>3</v>
      </c>
      <c r="C3" s="1609"/>
      <c r="D3" s="502"/>
      <c r="E3" s="502"/>
      <c r="F3" s="502"/>
      <c r="G3" s="502"/>
      <c r="H3" s="502"/>
      <c r="I3" s="170"/>
      <c r="J3" s="170"/>
      <c r="K3" s="170"/>
      <c r="L3" s="170"/>
      <c r="M3" s="170"/>
    </row>
    <row r="4" spans="1:13" ht="15.75" x14ac:dyDescent="0.25">
      <c r="A4" s="1">
        <v>2</v>
      </c>
      <c r="B4" s="1506" t="s">
        <v>4</v>
      </c>
      <c r="C4" s="1609"/>
      <c r="D4" s="502"/>
      <c r="E4" s="502"/>
      <c r="F4" s="502"/>
      <c r="G4" s="502"/>
      <c r="H4" s="502"/>
      <c r="I4" s="170"/>
      <c r="J4" s="170"/>
      <c r="K4" s="170"/>
      <c r="L4" s="170"/>
      <c r="M4" s="170"/>
    </row>
    <row r="5" spans="1:13" ht="15.75" x14ac:dyDescent="0.25">
      <c r="A5" s="1">
        <v>3</v>
      </c>
      <c r="B5" s="1506" t="s">
        <v>5</v>
      </c>
      <c r="C5" s="1609"/>
      <c r="D5" s="502"/>
      <c r="E5" s="502"/>
      <c r="F5" s="502"/>
      <c r="G5" s="502"/>
      <c r="H5" s="502"/>
      <c r="I5" s="170"/>
      <c r="J5" s="170"/>
      <c r="K5" s="170"/>
      <c r="L5" s="170"/>
      <c r="M5" s="170"/>
    </row>
    <row r="6" spans="1:13" ht="15.75" x14ac:dyDescent="0.25">
      <c r="A6" s="1">
        <v>4</v>
      </c>
      <c r="B6" s="1506" t="s">
        <v>6</v>
      </c>
      <c r="C6" s="1609"/>
      <c r="D6" s="502"/>
      <c r="E6" s="502"/>
      <c r="F6" s="502"/>
      <c r="G6" s="502"/>
      <c r="H6" s="502"/>
      <c r="I6" s="170"/>
      <c r="J6" s="170"/>
      <c r="K6" s="170"/>
      <c r="L6" s="170"/>
      <c r="M6" s="170"/>
    </row>
    <row r="7" spans="1:13" ht="15.75" x14ac:dyDescent="0.25">
      <c r="A7" s="1">
        <v>5</v>
      </c>
      <c r="B7" s="1506" t="s">
        <v>7</v>
      </c>
      <c r="C7" s="1609"/>
      <c r="D7" s="502"/>
      <c r="E7" s="502"/>
      <c r="F7" s="502"/>
      <c r="G7" s="502"/>
      <c r="H7" s="502"/>
      <c r="I7" s="170"/>
      <c r="J7" s="170"/>
      <c r="K7" s="170"/>
      <c r="L7" s="170"/>
      <c r="M7" s="170"/>
    </row>
    <row r="8" spans="1:13" ht="15.75" x14ac:dyDescent="0.25">
      <c r="A8" s="1">
        <v>6</v>
      </c>
      <c r="B8" s="1506" t="s">
        <v>8</v>
      </c>
      <c r="C8" s="1609"/>
      <c r="D8" s="502"/>
      <c r="E8" s="502"/>
      <c r="F8" s="502"/>
      <c r="G8" s="502"/>
      <c r="H8" s="502"/>
      <c r="I8" s="170"/>
      <c r="J8" s="170"/>
      <c r="K8" s="170"/>
      <c r="L8" s="170"/>
      <c r="M8" s="170"/>
    </row>
    <row r="9" spans="1:13" ht="15.75" x14ac:dyDescent="0.25">
      <c r="A9" s="1">
        <v>7</v>
      </c>
      <c r="B9" s="1506" t="s">
        <v>9</v>
      </c>
      <c r="C9" s="1609"/>
      <c r="D9" s="502"/>
      <c r="E9" s="502"/>
      <c r="F9" s="502"/>
      <c r="G9" s="502"/>
      <c r="H9" s="502"/>
      <c r="I9" s="170"/>
      <c r="J9" s="170"/>
      <c r="K9" s="170"/>
      <c r="L9" s="170"/>
      <c r="M9" s="170"/>
    </row>
    <row r="10" spans="1:13" ht="15.75" x14ac:dyDescent="0.25">
      <c r="A10" s="1">
        <v>8</v>
      </c>
      <c r="B10" s="1506" t="s">
        <v>10</v>
      </c>
      <c r="C10" s="1609"/>
      <c r="D10" s="502"/>
      <c r="E10" s="502"/>
      <c r="F10" s="502"/>
      <c r="G10" s="502"/>
      <c r="H10" s="502"/>
      <c r="I10" s="170"/>
      <c r="J10" s="170"/>
      <c r="K10" s="170"/>
      <c r="L10" s="170"/>
      <c r="M10" s="170"/>
    </row>
    <row r="11" spans="1:13" ht="15.75" x14ac:dyDescent="0.25">
      <c r="A11" s="1">
        <v>9</v>
      </c>
      <c r="B11" s="1506" t="s">
        <v>11</v>
      </c>
      <c r="C11" s="1609"/>
      <c r="D11" s="502"/>
      <c r="E11" s="502"/>
      <c r="F11" s="502"/>
      <c r="G11" s="502"/>
      <c r="H11" s="502"/>
      <c r="I11" s="170"/>
      <c r="J11" s="170"/>
      <c r="K11" s="170"/>
      <c r="L11" s="170"/>
      <c r="M11" s="170"/>
    </row>
    <row r="12" spans="1:13" ht="15.75" x14ac:dyDescent="0.25">
      <c r="A12" s="1">
        <v>10</v>
      </c>
      <c r="B12" s="1506" t="s">
        <v>12</v>
      </c>
      <c r="C12" s="1609"/>
      <c r="D12" s="502"/>
      <c r="E12" s="502"/>
      <c r="F12" s="502"/>
      <c r="G12" s="502"/>
      <c r="H12" s="502"/>
      <c r="I12" s="170"/>
      <c r="J12" s="170"/>
      <c r="K12" s="170"/>
      <c r="L12" s="170"/>
      <c r="M12" s="170"/>
    </row>
    <row r="13" spans="1:13" ht="15.75" x14ac:dyDescent="0.25">
      <c r="A13" s="1">
        <v>11</v>
      </c>
      <c r="B13" s="1506" t="s">
        <v>13</v>
      </c>
      <c r="C13" s="1609"/>
      <c r="D13" s="502"/>
      <c r="E13" s="502"/>
      <c r="F13" s="502"/>
      <c r="G13" s="502"/>
      <c r="H13" s="502"/>
      <c r="I13" s="170"/>
      <c r="J13" s="170"/>
      <c r="K13" s="170"/>
      <c r="L13" s="170"/>
      <c r="M13" s="170"/>
    </row>
    <row r="14" spans="1:13" ht="15.75" x14ac:dyDescent="0.25">
      <c r="A14" s="1">
        <v>12</v>
      </c>
      <c r="B14" s="1506" t="s">
        <v>14</v>
      </c>
      <c r="C14" s="1609"/>
      <c r="D14" s="502"/>
      <c r="E14" s="502"/>
      <c r="F14" s="502"/>
      <c r="G14" s="502"/>
      <c r="H14" s="502"/>
      <c r="I14" s="170"/>
      <c r="J14" s="170"/>
      <c r="K14" s="170"/>
      <c r="L14" s="170"/>
      <c r="M14" s="170"/>
    </row>
    <row r="15" spans="1:13" ht="15.75" x14ac:dyDescent="0.25">
      <c r="A15" s="1">
        <v>13</v>
      </c>
      <c r="B15" s="1506" t="s">
        <v>15</v>
      </c>
      <c r="C15" s="1609"/>
      <c r="D15" s="502"/>
      <c r="E15" s="502"/>
      <c r="F15" s="502"/>
      <c r="G15" s="502"/>
      <c r="H15" s="502"/>
      <c r="I15" s="170"/>
      <c r="J15" s="170"/>
      <c r="K15" s="170"/>
      <c r="L15" s="170"/>
      <c r="M15" s="170"/>
    </row>
    <row r="16" spans="1:13" ht="15.75" x14ac:dyDescent="0.25">
      <c r="A16" s="1">
        <v>14</v>
      </c>
      <c r="B16" s="1506" t="s">
        <v>16</v>
      </c>
      <c r="C16" s="1609"/>
      <c r="D16" s="502"/>
      <c r="E16" s="502"/>
      <c r="F16" s="502"/>
      <c r="G16" s="502"/>
      <c r="H16" s="502"/>
      <c r="I16" s="170"/>
      <c r="J16" s="170"/>
      <c r="K16" s="170"/>
      <c r="L16" s="170"/>
      <c r="M16" s="170"/>
    </row>
    <row r="17" spans="1:13" ht="15.75" x14ac:dyDescent="0.25">
      <c r="A17" s="180">
        <v>15</v>
      </c>
      <c r="B17" s="1506" t="s">
        <v>275</v>
      </c>
      <c r="C17" s="1506"/>
      <c r="D17" s="499"/>
      <c r="E17" s="499"/>
      <c r="F17" s="499"/>
      <c r="G17" s="499"/>
      <c r="H17" s="499"/>
      <c r="I17" s="170"/>
      <c r="J17" s="170"/>
      <c r="K17" s="170"/>
      <c r="L17" s="170"/>
      <c r="M17" s="170"/>
    </row>
    <row r="18" spans="1:13" ht="15.75" customHeight="1" x14ac:dyDescent="0.25">
      <c r="A18" s="180">
        <v>16</v>
      </c>
      <c r="B18" s="1506" t="s">
        <v>17</v>
      </c>
      <c r="C18" s="1506"/>
      <c r="D18" s="499"/>
      <c r="E18" s="499"/>
      <c r="F18" s="499"/>
      <c r="G18" s="499"/>
      <c r="H18" s="499"/>
      <c r="I18" s="170"/>
      <c r="J18" s="170"/>
      <c r="K18" s="170"/>
      <c r="L18" s="170"/>
      <c r="M18" s="170"/>
    </row>
    <row r="19" spans="1:13" ht="15.75" customHeight="1" x14ac:dyDescent="0.25">
      <c r="A19" s="180">
        <v>17</v>
      </c>
      <c r="B19" s="1506" t="s">
        <v>18</v>
      </c>
      <c r="C19" s="1506"/>
      <c r="D19" s="499"/>
      <c r="E19" s="499"/>
      <c r="F19" s="499"/>
      <c r="G19" s="499"/>
      <c r="H19" s="499"/>
      <c r="I19" s="170"/>
      <c r="J19" s="170"/>
      <c r="K19" s="170"/>
      <c r="L19" s="170"/>
      <c r="M19" s="170"/>
    </row>
    <row r="20" spans="1:13" ht="15.75" customHeight="1" x14ac:dyDescent="0.25">
      <c r="A20" s="180">
        <v>18</v>
      </c>
      <c r="B20" s="1506" t="s">
        <v>19</v>
      </c>
      <c r="C20" s="1506"/>
      <c r="D20" s="499"/>
      <c r="E20" s="499"/>
      <c r="F20" s="499"/>
      <c r="G20" s="499"/>
      <c r="H20" s="499"/>
      <c r="I20" s="170"/>
      <c r="J20" s="170"/>
      <c r="K20" s="170"/>
      <c r="L20" s="170"/>
      <c r="M20" s="170"/>
    </row>
    <row r="21" spans="1:13" ht="15.75" customHeight="1" x14ac:dyDescent="0.25">
      <c r="A21" s="180">
        <v>19</v>
      </c>
      <c r="B21" s="1526" t="s">
        <v>20</v>
      </c>
      <c r="C21" s="1526"/>
      <c r="D21" s="500"/>
      <c r="E21" s="500"/>
      <c r="F21" s="500"/>
      <c r="G21" s="500"/>
      <c r="H21" s="500"/>
      <c r="I21" s="170"/>
      <c r="J21" s="170"/>
      <c r="K21" s="170"/>
      <c r="L21" s="170"/>
      <c r="M21" s="170"/>
    </row>
    <row r="22" spans="1:13" ht="15.75" x14ac:dyDescent="0.25">
      <c r="A22" s="1"/>
      <c r="B22" s="1506" t="s">
        <v>2</v>
      </c>
      <c r="C22" s="1609"/>
      <c r="D22" s="502"/>
      <c r="E22" s="502"/>
      <c r="F22" s="502"/>
      <c r="G22" s="502"/>
      <c r="H22" s="502"/>
      <c r="I22" s="170"/>
      <c r="J22" s="170"/>
      <c r="K22" s="170"/>
      <c r="L22" s="170"/>
      <c r="M22" s="170"/>
    </row>
    <row r="23" spans="1:13" ht="33.75" customHeight="1" x14ac:dyDescent="0.25">
      <c r="A23" s="5">
        <v>20</v>
      </c>
      <c r="B23" s="1506" t="s">
        <v>21</v>
      </c>
      <c r="C23" s="1609"/>
      <c r="D23" s="502"/>
      <c r="E23" s="502"/>
      <c r="F23" s="502"/>
      <c r="G23" s="502"/>
      <c r="H23" s="502"/>
      <c r="I23" s="170"/>
      <c r="J23" s="170"/>
      <c r="K23" s="170"/>
      <c r="L23" s="170"/>
      <c r="M23" s="170"/>
    </row>
    <row r="24" spans="1:13" ht="15.75" x14ac:dyDescent="0.25">
      <c r="A24" s="1"/>
      <c r="B24" s="1506" t="s">
        <v>22</v>
      </c>
      <c r="C24" s="1609"/>
      <c r="D24" s="502"/>
      <c r="E24" s="502"/>
      <c r="F24" s="502"/>
      <c r="G24" s="502"/>
      <c r="H24" s="502"/>
      <c r="I24" s="170"/>
      <c r="J24" s="170"/>
      <c r="K24" s="170"/>
      <c r="L24" s="170"/>
      <c r="M24" s="170"/>
    </row>
  </sheetData>
  <mergeCells count="25">
    <mergeCell ref="B5:C5"/>
    <mergeCell ref="D1:E1"/>
    <mergeCell ref="F1:H1"/>
    <mergeCell ref="B2:C2"/>
    <mergeCell ref="B3:C3"/>
    <mergeCell ref="B4:C4"/>
    <mergeCell ref="B17:C17"/>
    <mergeCell ref="B6:C6"/>
    <mergeCell ref="B7:C7"/>
    <mergeCell ref="B8:C8"/>
    <mergeCell ref="B9:C9"/>
    <mergeCell ref="B10:C10"/>
    <mergeCell ref="B11:C11"/>
    <mergeCell ref="B12:C12"/>
    <mergeCell ref="B13:C13"/>
    <mergeCell ref="B14:C14"/>
    <mergeCell ref="B15:C15"/>
    <mergeCell ref="B16:C16"/>
    <mergeCell ref="B24:C24"/>
    <mergeCell ref="B18:C18"/>
    <mergeCell ref="B19:C19"/>
    <mergeCell ref="B20:C20"/>
    <mergeCell ref="B21:C21"/>
    <mergeCell ref="B22:C22"/>
    <mergeCell ref="B23:C2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0"/>
  <sheetViews>
    <sheetView topLeftCell="A2" workbookViewId="0">
      <pane xSplit="1" ySplit="3" topLeftCell="B195" activePane="bottomRight" state="frozen"/>
      <selection activeCell="A2" sqref="A2"/>
      <selection pane="topRight" activeCell="B2" sqref="B2"/>
      <selection pane="bottomLeft" activeCell="A5" sqref="A5"/>
      <selection pane="bottomRight" activeCell="D210" sqref="D210"/>
    </sheetView>
  </sheetViews>
  <sheetFormatPr defaultRowHeight="15" x14ac:dyDescent="0.25"/>
  <cols>
    <col min="1" max="1" width="8.28515625" customWidth="1"/>
    <col min="2" max="2" width="12.5703125" customWidth="1"/>
    <col min="3" max="3" width="33.85546875" customWidth="1"/>
    <col min="4" max="4" width="21.42578125" style="884" customWidth="1"/>
    <col min="5" max="5" width="22.42578125" style="884" customWidth="1"/>
    <col min="6" max="6" width="22.42578125" customWidth="1"/>
    <col min="7" max="7" width="11.7109375" customWidth="1"/>
    <col min="8" max="8" width="15.140625" customWidth="1"/>
    <col min="9" max="9" width="14.85546875" customWidth="1"/>
  </cols>
  <sheetData>
    <row r="1" spans="1:9" x14ac:dyDescent="0.25">
      <c r="A1" t="s">
        <v>641</v>
      </c>
    </row>
    <row r="2" spans="1:9" x14ac:dyDescent="0.25">
      <c r="A2" t="s">
        <v>936</v>
      </c>
    </row>
    <row r="3" spans="1:9" ht="15.75" x14ac:dyDescent="0.25">
      <c r="A3" s="230"/>
      <c r="B3" s="230" t="s">
        <v>290</v>
      </c>
      <c r="C3" s="230"/>
      <c r="D3" s="885"/>
      <c r="E3" s="885"/>
      <c r="F3" s="230"/>
      <c r="G3" s="230"/>
      <c r="H3" s="230"/>
    </row>
    <row r="4" spans="1:9" ht="31.5" x14ac:dyDescent="0.25">
      <c r="A4" s="242" t="s">
        <v>291</v>
      </c>
      <c r="B4" s="230" t="s">
        <v>292</v>
      </c>
      <c r="C4" s="230" t="s">
        <v>293</v>
      </c>
      <c r="D4" s="2046" t="s">
        <v>294</v>
      </c>
      <c r="E4" s="2046"/>
      <c r="F4" s="232"/>
      <c r="G4" s="2047" t="s">
        <v>295</v>
      </c>
      <c r="H4" s="2047"/>
    </row>
    <row r="5" spans="1:9" ht="15.75" x14ac:dyDescent="0.25">
      <c r="A5" s="230"/>
      <c r="B5" s="230"/>
      <c r="C5" s="230"/>
      <c r="D5" s="885" t="s">
        <v>180</v>
      </c>
      <c r="E5" s="885" t="s">
        <v>909</v>
      </c>
      <c r="F5" s="230" t="s">
        <v>910</v>
      </c>
      <c r="G5" s="230" t="s">
        <v>180</v>
      </c>
      <c r="H5" s="230" t="s">
        <v>296</v>
      </c>
      <c r="I5" s="230" t="s">
        <v>48</v>
      </c>
    </row>
    <row r="6" spans="1:9" ht="15.75" x14ac:dyDescent="0.25">
      <c r="A6" s="231" t="s">
        <v>297</v>
      </c>
      <c r="B6" s="231" t="s">
        <v>298</v>
      </c>
      <c r="C6" s="230" t="s">
        <v>299</v>
      </c>
      <c r="D6" s="885">
        <v>500000</v>
      </c>
      <c r="E6" s="885">
        <v>100000</v>
      </c>
      <c r="F6" s="230"/>
      <c r="G6" s="230">
        <f>D6</f>
        <v>500000</v>
      </c>
      <c r="H6" s="230">
        <f>E6</f>
        <v>100000</v>
      </c>
      <c r="I6" s="230">
        <f>F6</f>
        <v>0</v>
      </c>
    </row>
    <row r="7" spans="1:9" ht="15.75" x14ac:dyDescent="0.25">
      <c r="A7" s="231"/>
      <c r="B7" s="231"/>
      <c r="C7" s="230" t="s">
        <v>300</v>
      </c>
      <c r="D7" s="885">
        <v>500000</v>
      </c>
      <c r="E7" s="885">
        <v>100000</v>
      </c>
      <c r="F7" s="230"/>
      <c r="G7" s="230">
        <f t="shared" ref="G7:G20" si="0">D7</f>
        <v>500000</v>
      </c>
      <c r="H7" s="230">
        <f t="shared" ref="H7:H20" si="1">E7</f>
        <v>100000</v>
      </c>
      <c r="I7" s="230">
        <f t="shared" ref="I7:I20" si="2">F7</f>
        <v>0</v>
      </c>
    </row>
    <row r="8" spans="1:9" ht="15.75" x14ac:dyDescent="0.25">
      <c r="A8" s="231"/>
      <c r="B8" s="231"/>
      <c r="C8" s="230" t="s">
        <v>301</v>
      </c>
      <c r="D8" s="885">
        <v>100000</v>
      </c>
      <c r="E8" s="885">
        <v>50000</v>
      </c>
      <c r="F8" s="230"/>
      <c r="G8" s="230">
        <f t="shared" si="0"/>
        <v>100000</v>
      </c>
      <c r="H8" s="230">
        <f t="shared" si="1"/>
        <v>50000</v>
      </c>
      <c r="I8" s="230">
        <f t="shared" si="2"/>
        <v>0</v>
      </c>
    </row>
    <row r="9" spans="1:9" ht="15.75" x14ac:dyDescent="0.25">
      <c r="A9" s="231"/>
      <c r="B9" s="231"/>
      <c r="C9" s="230" t="s">
        <v>302</v>
      </c>
      <c r="D9" s="885">
        <v>5000000</v>
      </c>
      <c r="E9" s="885">
        <v>125000</v>
      </c>
      <c r="F9" s="2048" t="s">
        <v>911</v>
      </c>
      <c r="G9" s="230">
        <f t="shared" si="0"/>
        <v>5000000</v>
      </c>
      <c r="H9" s="230">
        <f t="shared" si="1"/>
        <v>125000</v>
      </c>
      <c r="I9" s="230">
        <v>0</v>
      </c>
    </row>
    <row r="10" spans="1:9" ht="15.75" x14ac:dyDescent="0.25">
      <c r="A10" s="231"/>
      <c r="B10" s="231"/>
      <c r="C10" s="230" t="s">
        <v>303</v>
      </c>
      <c r="D10" s="885">
        <v>1000000</v>
      </c>
      <c r="E10" s="885">
        <v>100000</v>
      </c>
      <c r="F10" s="2048"/>
      <c r="G10" s="230">
        <f t="shared" si="0"/>
        <v>1000000</v>
      </c>
      <c r="H10" s="230">
        <f t="shared" si="1"/>
        <v>100000</v>
      </c>
      <c r="I10" s="230">
        <f t="shared" si="2"/>
        <v>0</v>
      </c>
    </row>
    <row r="11" spans="1:9" ht="15.75" x14ac:dyDescent="0.25">
      <c r="A11" s="231"/>
      <c r="B11" s="231"/>
      <c r="C11" s="230" t="s">
        <v>304</v>
      </c>
      <c r="D11" s="885">
        <v>400000</v>
      </c>
      <c r="E11" s="885">
        <v>150000</v>
      </c>
      <c r="F11" s="2048"/>
      <c r="G11" s="230">
        <f t="shared" si="0"/>
        <v>400000</v>
      </c>
      <c r="H11" s="230">
        <f t="shared" si="1"/>
        <v>150000</v>
      </c>
      <c r="I11" s="230">
        <f t="shared" si="2"/>
        <v>0</v>
      </c>
    </row>
    <row r="12" spans="1:9" ht="15.75" x14ac:dyDescent="0.25">
      <c r="A12" s="231"/>
      <c r="B12" s="231"/>
      <c r="C12" s="230" t="s">
        <v>305</v>
      </c>
      <c r="D12" s="885">
        <v>2000000</v>
      </c>
      <c r="E12" s="885">
        <v>100000</v>
      </c>
      <c r="F12" s="230"/>
      <c r="G12" s="230">
        <f t="shared" si="0"/>
        <v>2000000</v>
      </c>
      <c r="H12" s="230">
        <f t="shared" si="1"/>
        <v>100000</v>
      </c>
      <c r="I12" s="230">
        <f t="shared" si="2"/>
        <v>0</v>
      </c>
    </row>
    <row r="13" spans="1:9" ht="15.75" x14ac:dyDescent="0.25">
      <c r="A13" s="231"/>
      <c r="B13" s="231"/>
      <c r="C13" s="230" t="s">
        <v>306</v>
      </c>
      <c r="D13" s="885">
        <v>1000000</v>
      </c>
      <c r="E13" s="885">
        <v>100000</v>
      </c>
      <c r="F13" s="230"/>
      <c r="G13" s="230">
        <f t="shared" si="0"/>
        <v>1000000</v>
      </c>
      <c r="H13" s="230">
        <f t="shared" si="1"/>
        <v>100000</v>
      </c>
      <c r="I13" s="230">
        <f t="shared" si="2"/>
        <v>0</v>
      </c>
    </row>
    <row r="14" spans="1:9" ht="15.75" x14ac:dyDescent="0.25">
      <c r="A14" s="231"/>
      <c r="B14" s="231"/>
      <c r="C14" s="230" t="s">
        <v>138</v>
      </c>
      <c r="D14" s="885">
        <v>1500000</v>
      </c>
      <c r="E14" s="885">
        <v>150000</v>
      </c>
      <c r="F14" s="230"/>
      <c r="G14" s="230">
        <f t="shared" si="0"/>
        <v>1500000</v>
      </c>
      <c r="H14" s="230">
        <f t="shared" si="1"/>
        <v>150000</v>
      </c>
      <c r="I14" s="230">
        <f t="shared" si="2"/>
        <v>0</v>
      </c>
    </row>
    <row r="15" spans="1:9" ht="15.75" x14ac:dyDescent="0.25">
      <c r="A15" s="231"/>
      <c r="B15" s="231"/>
      <c r="C15" s="230" t="s">
        <v>307</v>
      </c>
      <c r="D15" s="885">
        <v>2500000</v>
      </c>
      <c r="E15" s="885">
        <v>50000</v>
      </c>
      <c r="F15" s="230"/>
      <c r="G15" s="230">
        <f t="shared" si="0"/>
        <v>2500000</v>
      </c>
      <c r="H15" s="230">
        <f t="shared" si="1"/>
        <v>50000</v>
      </c>
      <c r="I15" s="230">
        <f t="shared" si="2"/>
        <v>0</v>
      </c>
    </row>
    <row r="16" spans="1:9" ht="15.75" x14ac:dyDescent="0.25">
      <c r="A16" s="231"/>
      <c r="B16" s="231"/>
      <c r="C16" s="232" t="s">
        <v>308</v>
      </c>
      <c r="D16" s="885">
        <v>1000000</v>
      </c>
      <c r="E16" s="885">
        <v>50000</v>
      </c>
      <c r="F16" s="230"/>
      <c r="G16" s="230">
        <f t="shared" si="0"/>
        <v>1000000</v>
      </c>
      <c r="H16" s="230">
        <f t="shared" si="1"/>
        <v>50000</v>
      </c>
      <c r="I16" s="230">
        <f t="shared" si="2"/>
        <v>0</v>
      </c>
    </row>
    <row r="17" spans="1:9" ht="15.75" x14ac:dyDescent="0.25">
      <c r="A17" s="231"/>
      <c r="B17" s="231"/>
      <c r="C17" s="230" t="s">
        <v>309</v>
      </c>
      <c r="D17" s="885">
        <v>100000</v>
      </c>
      <c r="E17" s="885">
        <v>10000</v>
      </c>
      <c r="F17" s="230"/>
      <c r="G17" s="230">
        <f t="shared" si="0"/>
        <v>100000</v>
      </c>
      <c r="H17" s="230">
        <f t="shared" si="1"/>
        <v>10000</v>
      </c>
      <c r="I17" s="230">
        <f t="shared" si="2"/>
        <v>0</v>
      </c>
    </row>
    <row r="18" spans="1:9" ht="15.75" x14ac:dyDescent="0.25">
      <c r="A18" s="231"/>
      <c r="B18" s="231"/>
      <c r="C18" s="230" t="s">
        <v>136</v>
      </c>
      <c r="D18" s="885">
        <v>60000</v>
      </c>
      <c r="E18" s="885">
        <v>5000</v>
      </c>
      <c r="F18" s="230"/>
      <c r="G18" s="230">
        <f t="shared" si="0"/>
        <v>60000</v>
      </c>
      <c r="H18" s="230">
        <f t="shared" si="1"/>
        <v>5000</v>
      </c>
      <c r="I18" s="230">
        <f t="shared" si="2"/>
        <v>0</v>
      </c>
    </row>
    <row r="19" spans="1:9" ht="47.25" x14ac:dyDescent="0.25">
      <c r="A19" s="231"/>
      <c r="B19" s="231"/>
      <c r="C19" s="230" t="s">
        <v>310</v>
      </c>
      <c r="D19" s="886" t="s">
        <v>311</v>
      </c>
      <c r="E19" s="885">
        <v>5000</v>
      </c>
      <c r="F19" s="230"/>
      <c r="G19" s="503" t="str">
        <f t="shared" si="0"/>
        <v>50000( in adition to 60000)</v>
      </c>
      <c r="H19" s="230">
        <f t="shared" si="1"/>
        <v>5000</v>
      </c>
      <c r="I19" s="230">
        <f t="shared" si="2"/>
        <v>0</v>
      </c>
    </row>
    <row r="20" spans="1:9" ht="15.75" x14ac:dyDescent="0.25">
      <c r="A20" s="231"/>
      <c r="B20" s="231"/>
      <c r="C20" s="230"/>
      <c r="D20" s="885"/>
      <c r="E20" s="885"/>
      <c r="F20" s="230"/>
      <c r="G20" s="230">
        <f t="shared" si="0"/>
        <v>0</v>
      </c>
      <c r="H20" s="230">
        <f t="shared" si="1"/>
        <v>0</v>
      </c>
      <c r="I20" s="230">
        <f t="shared" si="2"/>
        <v>0</v>
      </c>
    </row>
    <row r="21" spans="1:9" ht="15.75" x14ac:dyDescent="0.25">
      <c r="A21" s="231"/>
      <c r="B21" s="231"/>
      <c r="C21" s="230"/>
      <c r="D21" s="885" t="s">
        <v>312</v>
      </c>
      <c r="E21" s="885" t="s">
        <v>313</v>
      </c>
      <c r="F21" s="230"/>
      <c r="G21" s="230"/>
      <c r="H21" s="230"/>
    </row>
    <row r="22" spans="1:9" ht="15.75" x14ac:dyDescent="0.25">
      <c r="A22" s="231" t="s">
        <v>314</v>
      </c>
      <c r="B22" s="231" t="s">
        <v>315</v>
      </c>
      <c r="C22" s="230" t="s">
        <v>316</v>
      </c>
      <c r="D22" s="885">
        <v>30000</v>
      </c>
      <c r="E22" s="885" t="s">
        <v>317</v>
      </c>
      <c r="F22" s="230"/>
      <c r="G22" s="230"/>
      <c r="H22" s="230"/>
    </row>
    <row r="23" spans="1:9" ht="15.75" x14ac:dyDescent="0.25">
      <c r="A23" s="231"/>
      <c r="B23" s="231"/>
      <c r="C23" s="230" t="s">
        <v>318</v>
      </c>
      <c r="D23" s="885">
        <v>300000</v>
      </c>
      <c r="E23" s="885" t="s">
        <v>317</v>
      </c>
      <c r="F23" s="230"/>
      <c r="G23" s="230"/>
      <c r="H23" s="230"/>
    </row>
    <row r="24" spans="1:9" ht="47.25" x14ac:dyDescent="0.25">
      <c r="A24" s="231"/>
      <c r="B24" s="231"/>
      <c r="C24" s="230" t="s">
        <v>319</v>
      </c>
      <c r="D24" s="885">
        <v>750</v>
      </c>
      <c r="E24" s="886" t="s">
        <v>826</v>
      </c>
      <c r="F24" s="230"/>
      <c r="G24" s="230"/>
      <c r="H24" s="230"/>
    </row>
    <row r="25" spans="1:9" ht="15.75" x14ac:dyDescent="0.25">
      <c r="A25" s="231"/>
      <c r="B25" s="231"/>
      <c r="C25" s="230"/>
      <c r="D25" s="885"/>
      <c r="E25" s="885"/>
      <c r="F25" s="230"/>
      <c r="G25" s="230"/>
      <c r="H25" s="230"/>
    </row>
    <row r="26" spans="1:9" ht="15.75" x14ac:dyDescent="0.25">
      <c r="A26" s="231" t="s">
        <v>320</v>
      </c>
      <c r="B26" s="231" t="s">
        <v>321</v>
      </c>
      <c r="C26" s="230" t="s">
        <v>322</v>
      </c>
      <c r="D26" s="885">
        <v>1000</v>
      </c>
      <c r="E26" s="885" t="s">
        <v>323</v>
      </c>
      <c r="F26" s="230"/>
      <c r="G26" s="230"/>
      <c r="H26" s="230"/>
    </row>
    <row r="27" spans="1:9" ht="15.75" x14ac:dyDescent="0.25">
      <c r="A27" s="231"/>
      <c r="B27" s="231"/>
      <c r="C27" s="230" t="s">
        <v>324</v>
      </c>
      <c r="D27" s="885">
        <v>1500</v>
      </c>
      <c r="E27" s="885" t="s">
        <v>323</v>
      </c>
      <c r="F27" s="230"/>
      <c r="G27" s="230"/>
      <c r="H27" s="230"/>
    </row>
    <row r="28" spans="1:9" ht="15.75" x14ac:dyDescent="0.25">
      <c r="A28" s="231"/>
      <c r="B28" s="231"/>
      <c r="C28" s="230" t="s">
        <v>325</v>
      </c>
      <c r="D28" s="885">
        <v>5000</v>
      </c>
      <c r="E28" s="885" t="s">
        <v>323</v>
      </c>
      <c r="F28" s="230"/>
      <c r="G28" s="230"/>
      <c r="H28" s="230"/>
    </row>
    <row r="29" spans="1:9" ht="15.75" x14ac:dyDescent="0.25">
      <c r="A29" s="231"/>
      <c r="B29" s="231"/>
      <c r="C29" s="230" t="s">
        <v>326</v>
      </c>
      <c r="D29" s="885">
        <v>5000</v>
      </c>
      <c r="E29" s="885" t="s">
        <v>323</v>
      </c>
      <c r="F29" s="230"/>
      <c r="G29" s="230"/>
      <c r="H29" s="230"/>
    </row>
    <row r="30" spans="1:9" ht="31.5" x14ac:dyDescent="0.25">
      <c r="A30" s="231"/>
      <c r="B30" s="231"/>
      <c r="C30" s="894" t="s">
        <v>933</v>
      </c>
      <c r="D30" s="885">
        <v>25</v>
      </c>
      <c r="E30" s="893" t="s">
        <v>934</v>
      </c>
      <c r="F30" s="230"/>
      <c r="G30" s="230"/>
      <c r="H30" s="230"/>
    </row>
    <row r="31" spans="1:9" ht="15.75" x14ac:dyDescent="0.25">
      <c r="A31" s="231"/>
      <c r="B31" s="231"/>
      <c r="C31" s="230"/>
      <c r="D31" s="885"/>
      <c r="E31" s="885"/>
      <c r="F31" s="230"/>
      <c r="G31" s="230"/>
      <c r="H31" s="230"/>
    </row>
    <row r="32" spans="1:9" ht="15.75" x14ac:dyDescent="0.25">
      <c r="A32" s="231"/>
      <c r="B32" s="231"/>
      <c r="C32" s="230"/>
      <c r="D32" s="885"/>
      <c r="E32" s="885"/>
      <c r="F32" s="230"/>
      <c r="G32" s="230"/>
      <c r="H32" s="230"/>
    </row>
    <row r="33" spans="1:8" ht="15.75" x14ac:dyDescent="0.25">
      <c r="A33" s="231" t="s">
        <v>327</v>
      </c>
      <c r="B33" s="231" t="s">
        <v>6</v>
      </c>
      <c r="C33" s="230" t="s">
        <v>328</v>
      </c>
      <c r="D33" s="885">
        <v>300000</v>
      </c>
      <c r="E33" s="885" t="s">
        <v>329</v>
      </c>
      <c r="F33" s="230"/>
      <c r="G33" s="230"/>
      <c r="H33" s="230"/>
    </row>
    <row r="34" spans="1:8" ht="15.75" x14ac:dyDescent="0.25">
      <c r="A34" s="231"/>
      <c r="B34" s="231"/>
      <c r="C34" s="230" t="s">
        <v>330</v>
      </c>
      <c r="D34" s="885"/>
      <c r="E34" s="885"/>
      <c r="F34" s="230"/>
      <c r="G34" s="230"/>
      <c r="H34" s="230"/>
    </row>
    <row r="35" spans="1:8" ht="15.75" x14ac:dyDescent="0.25">
      <c r="A35" s="231"/>
      <c r="B35" s="231"/>
      <c r="C35" s="230" t="s">
        <v>331</v>
      </c>
      <c r="D35" s="885">
        <v>2000000</v>
      </c>
      <c r="E35" s="885" t="s">
        <v>317</v>
      </c>
      <c r="F35" s="230"/>
      <c r="G35" s="230"/>
      <c r="H35" s="230"/>
    </row>
    <row r="36" spans="1:8" ht="15.75" x14ac:dyDescent="0.25">
      <c r="A36" s="231"/>
      <c r="B36" s="231"/>
      <c r="C36" s="230" t="s">
        <v>332</v>
      </c>
      <c r="D36" s="885">
        <v>1400000</v>
      </c>
      <c r="E36" s="885" t="s">
        <v>317</v>
      </c>
      <c r="F36" s="230"/>
      <c r="G36" s="230"/>
      <c r="H36" s="230"/>
    </row>
    <row r="37" spans="1:8" ht="15.75" x14ac:dyDescent="0.25">
      <c r="A37" s="231"/>
      <c r="B37" s="231"/>
      <c r="C37" s="230" t="s">
        <v>333</v>
      </c>
      <c r="D37" s="885">
        <v>1000000</v>
      </c>
      <c r="E37" s="885" t="s">
        <v>317</v>
      </c>
      <c r="F37" s="230"/>
      <c r="G37" s="230"/>
      <c r="H37" s="230"/>
    </row>
    <row r="38" spans="1:8" ht="15.75" x14ac:dyDescent="0.25">
      <c r="A38" s="231"/>
      <c r="B38" s="231"/>
      <c r="C38" s="230" t="s">
        <v>334</v>
      </c>
      <c r="D38" s="885">
        <v>40000</v>
      </c>
      <c r="E38" s="885" t="s">
        <v>317</v>
      </c>
      <c r="F38" s="230"/>
      <c r="G38" s="230"/>
      <c r="H38" s="230"/>
    </row>
    <row r="39" spans="1:8" ht="15.75" x14ac:dyDescent="0.25">
      <c r="A39" s="231"/>
      <c r="B39" s="231"/>
      <c r="C39" s="230"/>
      <c r="D39" s="885"/>
      <c r="E39" s="885"/>
      <c r="F39" s="230"/>
      <c r="G39" s="230"/>
      <c r="H39" s="230"/>
    </row>
    <row r="40" spans="1:8" ht="15.75" x14ac:dyDescent="0.25">
      <c r="A40" s="231"/>
      <c r="B40" s="231"/>
      <c r="C40" s="230" t="s">
        <v>335</v>
      </c>
      <c r="D40" s="885">
        <v>188000</v>
      </c>
      <c r="E40" s="885" t="s">
        <v>317</v>
      </c>
      <c r="F40" s="230"/>
      <c r="G40" s="230"/>
      <c r="H40" s="230"/>
    </row>
    <row r="41" spans="1:8" ht="15.75" x14ac:dyDescent="0.25">
      <c r="A41" s="231"/>
      <c r="B41" s="231"/>
      <c r="C41" s="230" t="s">
        <v>336</v>
      </c>
      <c r="D41" s="885">
        <v>233000</v>
      </c>
      <c r="E41" s="885" t="s">
        <v>317</v>
      </c>
      <c r="F41" s="230"/>
      <c r="G41" s="230"/>
      <c r="H41" s="230"/>
    </row>
    <row r="42" spans="1:8" ht="15.75" x14ac:dyDescent="0.25">
      <c r="A42" s="231"/>
      <c r="B42" s="231"/>
      <c r="C42" s="230" t="s">
        <v>337</v>
      </c>
      <c r="D42" s="885">
        <v>338000</v>
      </c>
      <c r="E42" s="885" t="s">
        <v>317</v>
      </c>
      <c r="F42" s="230"/>
      <c r="G42" s="230"/>
      <c r="H42" s="230"/>
    </row>
    <row r="43" spans="1:8" ht="15.75" x14ac:dyDescent="0.25">
      <c r="A43" s="231"/>
      <c r="B43" s="231"/>
      <c r="C43" s="230"/>
      <c r="D43" s="885"/>
      <c r="E43" s="885"/>
      <c r="F43" s="230"/>
      <c r="G43" s="230"/>
      <c r="H43" s="230"/>
    </row>
    <row r="44" spans="1:8" ht="15.75" x14ac:dyDescent="0.25">
      <c r="A44" s="231"/>
      <c r="B44" s="231"/>
      <c r="C44" s="230"/>
      <c r="D44" s="885"/>
      <c r="E44" s="885"/>
      <c r="F44" s="230"/>
      <c r="G44" s="230"/>
      <c r="H44" s="230"/>
    </row>
    <row r="45" spans="1:8" ht="15.75" x14ac:dyDescent="0.25">
      <c r="A45" s="231"/>
      <c r="B45" s="231"/>
      <c r="C45" s="230"/>
      <c r="D45" s="885"/>
      <c r="E45" s="885"/>
      <c r="F45" s="230"/>
      <c r="G45" s="230"/>
      <c r="H45" s="230"/>
    </row>
    <row r="46" spans="1:8" ht="15.75" x14ac:dyDescent="0.25">
      <c r="A46" s="231" t="s">
        <v>338</v>
      </c>
      <c r="B46" s="231" t="s">
        <v>339</v>
      </c>
      <c r="C46" s="230" t="s">
        <v>340</v>
      </c>
      <c r="D46" s="885">
        <v>1000</v>
      </c>
      <c r="E46" s="885" t="s">
        <v>341</v>
      </c>
      <c r="F46" s="230"/>
      <c r="G46" s="230"/>
      <c r="H46" s="230"/>
    </row>
    <row r="47" spans="1:8" ht="15.75" x14ac:dyDescent="0.25">
      <c r="A47" s="231"/>
      <c r="B47" s="231"/>
      <c r="C47" s="230" t="s">
        <v>342</v>
      </c>
      <c r="D47" s="885">
        <v>45000</v>
      </c>
      <c r="E47" s="885" t="s">
        <v>343</v>
      </c>
      <c r="F47" s="230"/>
      <c r="G47" s="230"/>
      <c r="H47" s="230"/>
    </row>
    <row r="48" spans="1:8" ht="15.75" x14ac:dyDescent="0.25">
      <c r="A48" s="231"/>
      <c r="B48" s="231"/>
      <c r="C48" s="230" t="s">
        <v>344</v>
      </c>
      <c r="D48" s="885">
        <v>2000</v>
      </c>
      <c r="E48" s="885" t="s">
        <v>341</v>
      </c>
      <c r="F48" s="230"/>
      <c r="G48" s="230"/>
      <c r="H48" s="230"/>
    </row>
    <row r="49" spans="1:8" ht="15.75" x14ac:dyDescent="0.25">
      <c r="A49" s="231"/>
      <c r="B49" s="231"/>
      <c r="C49" s="230" t="s">
        <v>345</v>
      </c>
      <c r="D49" s="885">
        <v>5000</v>
      </c>
      <c r="E49" s="885" t="s">
        <v>341</v>
      </c>
      <c r="F49" s="230"/>
      <c r="G49" s="230"/>
      <c r="H49" s="230"/>
    </row>
    <row r="50" spans="1:8" ht="15.75" x14ac:dyDescent="0.25">
      <c r="A50" s="231"/>
      <c r="B50" s="231"/>
      <c r="C50" s="230" t="s">
        <v>346</v>
      </c>
      <c r="D50" s="885">
        <v>92000</v>
      </c>
      <c r="E50" s="885" t="s">
        <v>341</v>
      </c>
      <c r="F50" s="230"/>
      <c r="G50" s="230"/>
      <c r="H50" s="230"/>
    </row>
    <row r="51" spans="1:8" ht="15.75" x14ac:dyDescent="0.25">
      <c r="A51" s="231"/>
      <c r="B51" s="231"/>
      <c r="C51" s="230" t="s">
        <v>347</v>
      </c>
      <c r="D51" s="885">
        <v>681000</v>
      </c>
      <c r="E51" s="885" t="s">
        <v>348</v>
      </c>
      <c r="F51" s="230"/>
      <c r="G51" s="230"/>
      <c r="H51" s="230"/>
    </row>
    <row r="52" spans="1:8" ht="15.75" x14ac:dyDescent="0.25">
      <c r="A52" s="231"/>
      <c r="B52" s="231"/>
      <c r="C52" s="230" t="s">
        <v>349</v>
      </c>
      <c r="D52" s="885">
        <v>3000</v>
      </c>
      <c r="E52" s="885" t="s">
        <v>341</v>
      </c>
      <c r="F52" s="230"/>
      <c r="G52" s="230"/>
      <c r="H52" s="230"/>
    </row>
    <row r="53" spans="1:8" ht="15.75" x14ac:dyDescent="0.25">
      <c r="A53" s="231"/>
      <c r="B53" s="231"/>
      <c r="C53" s="230" t="s">
        <v>350</v>
      </c>
      <c r="D53" s="885">
        <v>10000</v>
      </c>
      <c r="E53" s="885" t="s">
        <v>341</v>
      </c>
      <c r="F53" s="230"/>
      <c r="G53" s="230"/>
      <c r="H53" s="230"/>
    </row>
    <row r="54" spans="1:8" ht="15.75" x14ac:dyDescent="0.25">
      <c r="A54" s="231"/>
      <c r="B54" s="231"/>
      <c r="C54" s="230" t="s">
        <v>351</v>
      </c>
      <c r="D54" s="885" t="s">
        <v>352</v>
      </c>
      <c r="E54" s="885" t="s">
        <v>341</v>
      </c>
      <c r="F54" s="230"/>
      <c r="G54" s="230"/>
      <c r="H54" s="230"/>
    </row>
    <row r="55" spans="1:8" ht="15.75" x14ac:dyDescent="0.25">
      <c r="A55" s="231"/>
      <c r="B55" s="231"/>
      <c r="C55" s="230"/>
      <c r="D55" s="885"/>
      <c r="E55" s="885"/>
      <c r="F55" s="230"/>
      <c r="G55" s="230"/>
      <c r="H55" s="230"/>
    </row>
    <row r="56" spans="1:8" ht="15.75" x14ac:dyDescent="0.25">
      <c r="A56" s="231"/>
      <c r="B56" s="231"/>
      <c r="C56" s="230"/>
      <c r="D56" s="885"/>
      <c r="E56" s="885"/>
      <c r="F56" s="230"/>
      <c r="G56" s="230"/>
      <c r="H56" s="230"/>
    </row>
    <row r="57" spans="1:8" ht="15.75" x14ac:dyDescent="0.25">
      <c r="A57" s="231" t="s">
        <v>353</v>
      </c>
      <c r="B57" s="231" t="s">
        <v>8</v>
      </c>
      <c r="C57" s="230" t="s">
        <v>354</v>
      </c>
      <c r="D57" s="885"/>
      <c r="E57" s="885" t="s">
        <v>355</v>
      </c>
      <c r="F57" s="230"/>
      <c r="G57" s="230"/>
      <c r="H57" s="230"/>
    </row>
    <row r="58" spans="1:8" ht="15.75" x14ac:dyDescent="0.25">
      <c r="A58" s="231"/>
      <c r="B58" s="231"/>
      <c r="C58" s="230" t="s">
        <v>356</v>
      </c>
      <c r="D58" s="885"/>
      <c r="E58" s="885"/>
      <c r="F58" s="230"/>
      <c r="G58" s="230"/>
      <c r="H58" s="230"/>
    </row>
    <row r="59" spans="1:8" ht="15.75" x14ac:dyDescent="0.25">
      <c r="A59" s="231"/>
      <c r="B59" s="231"/>
      <c r="C59" s="230" t="s">
        <v>316</v>
      </c>
      <c r="D59" s="885">
        <v>21000</v>
      </c>
      <c r="E59" s="885" t="s">
        <v>317</v>
      </c>
      <c r="F59" s="230"/>
      <c r="G59" s="230"/>
      <c r="H59" s="230"/>
    </row>
    <row r="60" spans="1:8" ht="15.75" x14ac:dyDescent="0.25">
      <c r="A60" s="231"/>
      <c r="B60" s="231"/>
      <c r="C60" s="230" t="s">
        <v>225</v>
      </c>
      <c r="D60" s="885">
        <v>216000</v>
      </c>
      <c r="E60" s="885" t="s">
        <v>317</v>
      </c>
      <c r="F60" s="230"/>
      <c r="G60" s="230"/>
      <c r="H60" s="230"/>
    </row>
    <row r="61" spans="1:8" ht="15.75" x14ac:dyDescent="0.25">
      <c r="A61" s="231"/>
      <c r="B61" s="231"/>
      <c r="C61" s="230"/>
      <c r="D61" s="885"/>
      <c r="E61" s="885"/>
      <c r="F61" s="230"/>
      <c r="G61" s="230"/>
      <c r="H61" s="230"/>
    </row>
    <row r="62" spans="1:8" ht="15.75" x14ac:dyDescent="0.25">
      <c r="A62" s="231"/>
      <c r="B62" s="231"/>
      <c r="C62" s="230"/>
      <c r="D62" s="885"/>
      <c r="E62" s="885"/>
      <c r="F62" s="230"/>
      <c r="G62" s="230"/>
      <c r="H62" s="230"/>
    </row>
    <row r="63" spans="1:8" ht="15.75" x14ac:dyDescent="0.25">
      <c r="A63" s="231" t="s">
        <v>357</v>
      </c>
      <c r="B63" s="231" t="s">
        <v>358</v>
      </c>
      <c r="C63" s="230" t="s">
        <v>359</v>
      </c>
      <c r="D63" s="885">
        <v>45000</v>
      </c>
      <c r="E63" s="885" t="s">
        <v>360</v>
      </c>
      <c r="F63" s="230"/>
      <c r="G63" s="230"/>
      <c r="H63" s="230"/>
    </row>
    <row r="64" spans="1:8" ht="15.75" x14ac:dyDescent="0.25">
      <c r="A64" s="231"/>
      <c r="B64" s="231"/>
      <c r="C64" s="230" t="s">
        <v>361</v>
      </c>
      <c r="D64" s="885">
        <v>35000</v>
      </c>
      <c r="E64" s="885" t="s">
        <v>360</v>
      </c>
      <c r="F64" s="230"/>
      <c r="G64" s="230"/>
      <c r="H64" s="230"/>
    </row>
    <row r="65" spans="1:8" ht="15.75" x14ac:dyDescent="0.25">
      <c r="A65" s="231"/>
      <c r="B65" s="231"/>
      <c r="C65" s="230" t="s">
        <v>913</v>
      </c>
      <c r="D65" s="885">
        <v>35000</v>
      </c>
      <c r="E65" s="885" t="s">
        <v>360</v>
      </c>
      <c r="F65" s="230"/>
      <c r="G65" s="230"/>
      <c r="H65" s="230"/>
    </row>
    <row r="66" spans="1:8" ht="15.75" x14ac:dyDescent="0.25">
      <c r="A66" s="231"/>
      <c r="B66" s="231"/>
      <c r="C66" s="230" t="s">
        <v>912</v>
      </c>
      <c r="D66" s="885">
        <v>35000</v>
      </c>
      <c r="E66" s="885"/>
      <c r="F66" s="230"/>
      <c r="G66" s="230"/>
      <c r="H66" s="230"/>
    </row>
    <row r="67" spans="1:8" ht="15.75" x14ac:dyDescent="0.25">
      <c r="A67" s="231"/>
      <c r="B67" s="231"/>
      <c r="C67" s="230" t="s">
        <v>362</v>
      </c>
      <c r="D67" s="885">
        <v>210000</v>
      </c>
      <c r="E67" s="885" t="s">
        <v>363</v>
      </c>
      <c r="F67" s="230"/>
      <c r="G67" s="230"/>
      <c r="H67" s="230"/>
    </row>
    <row r="68" spans="1:8" ht="15.75" x14ac:dyDescent="0.25">
      <c r="A68" s="231"/>
      <c r="B68" s="231"/>
      <c r="C68" s="230" t="s">
        <v>364</v>
      </c>
      <c r="D68" s="885">
        <v>50000</v>
      </c>
      <c r="E68" s="885" t="s">
        <v>365</v>
      </c>
      <c r="F68" s="230"/>
      <c r="G68" s="230"/>
      <c r="H68" s="230"/>
    </row>
    <row r="69" spans="1:8" ht="15.75" x14ac:dyDescent="0.25">
      <c r="A69" s="231"/>
      <c r="B69" s="231"/>
      <c r="C69" s="230"/>
      <c r="D69" s="885"/>
      <c r="E69" s="885"/>
      <c r="F69" s="230"/>
      <c r="G69" s="230"/>
      <c r="H69" s="230"/>
    </row>
    <row r="70" spans="1:8" ht="15.75" x14ac:dyDescent="0.25">
      <c r="A70" s="231"/>
      <c r="B70" s="231"/>
      <c r="C70" s="230"/>
      <c r="D70" s="885"/>
      <c r="E70" s="885"/>
      <c r="F70" s="230"/>
      <c r="G70" s="230"/>
      <c r="H70" s="230"/>
    </row>
    <row r="71" spans="1:8" ht="15.75" x14ac:dyDescent="0.25">
      <c r="A71" s="231" t="s">
        <v>366</v>
      </c>
      <c r="B71" s="231" t="s">
        <v>10</v>
      </c>
      <c r="C71" s="230" t="s">
        <v>367</v>
      </c>
      <c r="D71" s="885">
        <v>330000</v>
      </c>
      <c r="E71" s="885" t="s">
        <v>368</v>
      </c>
      <c r="F71" s="230"/>
      <c r="G71" s="230"/>
      <c r="H71" s="230"/>
    </row>
    <row r="72" spans="1:8" ht="15.75" x14ac:dyDescent="0.25">
      <c r="A72" s="231"/>
      <c r="B72" s="231"/>
      <c r="C72" s="230" t="s">
        <v>299</v>
      </c>
      <c r="D72" s="885">
        <v>330000</v>
      </c>
      <c r="E72" s="885" t="s">
        <v>368</v>
      </c>
      <c r="F72" s="230"/>
      <c r="G72" s="230"/>
      <c r="H72" s="230"/>
    </row>
    <row r="73" spans="1:8" ht="15.75" x14ac:dyDescent="0.25">
      <c r="A73" s="231"/>
      <c r="B73" s="231"/>
      <c r="C73" s="230" t="s">
        <v>369</v>
      </c>
      <c r="D73" s="885">
        <v>330000</v>
      </c>
      <c r="E73" s="885" t="s">
        <v>368</v>
      </c>
      <c r="F73" s="230"/>
      <c r="G73" s="230"/>
      <c r="H73" s="230"/>
    </row>
    <row r="74" spans="1:8" ht="15.75" x14ac:dyDescent="0.25">
      <c r="A74" s="231"/>
      <c r="B74" s="231"/>
      <c r="C74" s="230" t="s">
        <v>370</v>
      </c>
      <c r="D74" s="885">
        <v>92400</v>
      </c>
      <c r="E74" s="885" t="s">
        <v>368</v>
      </c>
      <c r="F74" s="230"/>
      <c r="G74" s="230"/>
      <c r="H74" s="230"/>
    </row>
    <row r="75" spans="1:8" ht="15.75" x14ac:dyDescent="0.25">
      <c r="A75" s="231"/>
      <c r="B75" s="231"/>
      <c r="C75" s="230" t="s">
        <v>378</v>
      </c>
      <c r="D75" s="885">
        <v>198000</v>
      </c>
      <c r="E75" s="885" t="s">
        <v>368</v>
      </c>
      <c r="F75" s="230"/>
      <c r="G75" s="230"/>
      <c r="H75" s="230"/>
    </row>
    <row r="76" spans="1:8" ht="15.75" x14ac:dyDescent="0.25">
      <c r="A76" s="231"/>
      <c r="B76" s="231"/>
      <c r="C76" s="230" t="s">
        <v>371</v>
      </c>
      <c r="D76" s="885">
        <v>198000</v>
      </c>
      <c r="E76" s="885" t="s">
        <v>368</v>
      </c>
      <c r="F76" s="230"/>
      <c r="G76" s="230"/>
      <c r="H76" s="230"/>
    </row>
    <row r="77" spans="1:8" ht="15.75" x14ac:dyDescent="0.25">
      <c r="A77" s="231"/>
      <c r="B77" s="231"/>
      <c r="C77" s="230" t="s">
        <v>372</v>
      </c>
      <c r="D77" s="885">
        <v>198000</v>
      </c>
      <c r="E77" s="885" t="s">
        <v>368</v>
      </c>
      <c r="F77" s="230"/>
      <c r="G77" s="230"/>
      <c r="H77" s="230"/>
    </row>
    <row r="78" spans="1:8" ht="15.75" x14ac:dyDescent="0.25">
      <c r="A78" s="231"/>
      <c r="B78" s="231"/>
      <c r="C78" s="230"/>
      <c r="D78" s="885"/>
      <c r="E78" s="885"/>
      <c r="F78" s="230"/>
      <c r="G78" s="230"/>
      <c r="H78" s="230"/>
    </row>
    <row r="79" spans="1:8" ht="15.75" x14ac:dyDescent="0.25">
      <c r="A79" s="231" t="s">
        <v>373</v>
      </c>
      <c r="B79" s="231" t="s">
        <v>374</v>
      </c>
      <c r="C79" s="230" t="s">
        <v>375</v>
      </c>
      <c r="D79" s="885">
        <v>50000</v>
      </c>
      <c r="E79" s="885" t="s">
        <v>376</v>
      </c>
      <c r="F79" s="230"/>
      <c r="G79" s="230"/>
      <c r="H79" s="230"/>
    </row>
    <row r="80" spans="1:8" ht="15.75" x14ac:dyDescent="0.25">
      <c r="A80" s="231"/>
      <c r="B80" s="231"/>
      <c r="C80" s="230" t="s">
        <v>377</v>
      </c>
      <c r="D80" s="885">
        <v>300000</v>
      </c>
      <c r="E80" s="885" t="s">
        <v>376</v>
      </c>
      <c r="F80" s="230"/>
      <c r="G80" s="230"/>
      <c r="H80" s="230"/>
    </row>
    <row r="81" spans="1:8" ht="15.75" x14ac:dyDescent="0.25">
      <c r="A81" s="231"/>
      <c r="B81" s="231"/>
      <c r="C81" s="230" t="s">
        <v>378</v>
      </c>
      <c r="D81" s="885">
        <v>600000</v>
      </c>
      <c r="E81" s="885" t="s">
        <v>360</v>
      </c>
      <c r="F81" s="230"/>
      <c r="G81" s="230"/>
      <c r="H81" s="230"/>
    </row>
    <row r="82" spans="1:8" ht="15.75" x14ac:dyDescent="0.25">
      <c r="A82" s="231"/>
      <c r="B82" s="231"/>
      <c r="C82" s="230" t="s">
        <v>379</v>
      </c>
      <c r="D82" s="885">
        <v>228000</v>
      </c>
      <c r="E82" s="885" t="s">
        <v>360</v>
      </c>
      <c r="F82" s="230"/>
      <c r="G82" s="230"/>
      <c r="H82" s="230"/>
    </row>
    <row r="83" spans="1:8" ht="15.75" x14ac:dyDescent="0.25">
      <c r="A83" s="231"/>
      <c r="B83" s="231"/>
      <c r="C83" s="230" t="s">
        <v>123</v>
      </c>
      <c r="D83" s="885">
        <v>138000</v>
      </c>
      <c r="E83" s="885" t="s">
        <v>360</v>
      </c>
      <c r="F83" s="230"/>
      <c r="G83" s="230"/>
      <c r="H83" s="230"/>
    </row>
    <row r="84" spans="1:8" ht="15.75" x14ac:dyDescent="0.25">
      <c r="A84" s="231"/>
      <c r="B84" s="231"/>
      <c r="C84" s="230" t="s">
        <v>380</v>
      </c>
      <c r="D84" s="885">
        <v>3500</v>
      </c>
      <c r="E84" s="885" t="s">
        <v>381</v>
      </c>
      <c r="F84" s="230"/>
      <c r="G84" s="230"/>
      <c r="H84" s="230"/>
    </row>
    <row r="85" spans="1:8" ht="15.75" x14ac:dyDescent="0.25">
      <c r="A85" s="231"/>
      <c r="B85" s="231"/>
      <c r="C85" s="230"/>
      <c r="D85" s="885"/>
      <c r="E85" s="885"/>
      <c r="F85" s="230"/>
      <c r="G85" s="230"/>
      <c r="H85" s="230"/>
    </row>
    <row r="86" spans="1:8" ht="15.75" x14ac:dyDescent="0.25">
      <c r="A86" s="231"/>
      <c r="B86" s="231"/>
      <c r="C86" s="230"/>
      <c r="D86" s="885"/>
      <c r="E86" s="885"/>
      <c r="F86" s="230"/>
      <c r="G86" s="230"/>
      <c r="H86" s="230"/>
    </row>
    <row r="87" spans="1:8" ht="15.75" x14ac:dyDescent="0.25">
      <c r="A87" s="231" t="s">
        <v>382</v>
      </c>
      <c r="B87" s="231" t="s">
        <v>383</v>
      </c>
      <c r="C87" s="233" t="s">
        <v>384</v>
      </c>
      <c r="D87" s="885">
        <v>480000</v>
      </c>
      <c r="E87" s="885" t="s">
        <v>360</v>
      </c>
      <c r="F87" s="230"/>
      <c r="G87" s="230"/>
      <c r="H87" s="230"/>
    </row>
    <row r="88" spans="1:8" ht="15.75" x14ac:dyDescent="0.25">
      <c r="A88" s="231"/>
      <c r="B88" s="231"/>
      <c r="C88" s="233" t="s">
        <v>385</v>
      </c>
      <c r="D88" s="885">
        <v>138000</v>
      </c>
      <c r="E88" s="885" t="s">
        <v>360</v>
      </c>
      <c r="F88" s="230"/>
      <c r="G88" s="230"/>
      <c r="H88" s="230"/>
    </row>
    <row r="89" spans="1:8" ht="15.75" x14ac:dyDescent="0.25">
      <c r="A89" s="231"/>
      <c r="B89" s="231"/>
      <c r="C89" s="234" t="s">
        <v>386</v>
      </c>
      <c r="D89" s="885">
        <v>120000</v>
      </c>
      <c r="E89" s="885" t="s">
        <v>360</v>
      </c>
      <c r="F89" s="230"/>
      <c r="G89" s="230"/>
      <c r="H89" s="230"/>
    </row>
    <row r="90" spans="1:8" ht="15.75" x14ac:dyDescent="0.25">
      <c r="A90" s="231"/>
      <c r="B90" s="231"/>
      <c r="C90" s="234" t="s">
        <v>387</v>
      </c>
      <c r="D90" s="885">
        <v>600000</v>
      </c>
      <c r="E90" s="885" t="s">
        <v>360</v>
      </c>
      <c r="F90" s="230"/>
      <c r="G90" s="230"/>
      <c r="H90" s="230"/>
    </row>
    <row r="91" spans="1:8" ht="15.75" x14ac:dyDescent="0.25">
      <c r="A91" s="231"/>
      <c r="B91" s="231"/>
      <c r="C91" s="233" t="s">
        <v>240</v>
      </c>
      <c r="D91" s="885">
        <v>126000</v>
      </c>
      <c r="E91" s="885" t="s">
        <v>360</v>
      </c>
      <c r="F91" s="230"/>
      <c r="G91" s="230"/>
      <c r="H91" s="230"/>
    </row>
    <row r="92" spans="1:8" ht="31.5" x14ac:dyDescent="0.25">
      <c r="A92" s="231"/>
      <c r="B92" s="231"/>
      <c r="C92" s="235" t="s">
        <v>388</v>
      </c>
      <c r="D92" s="885">
        <v>400000</v>
      </c>
      <c r="E92" s="885"/>
      <c r="F92" s="230"/>
      <c r="G92" s="230"/>
      <c r="H92" s="230"/>
    </row>
    <row r="93" spans="1:8" ht="15.75" x14ac:dyDescent="0.25">
      <c r="A93" s="231"/>
      <c r="B93" s="231"/>
      <c r="C93" s="235" t="s">
        <v>389</v>
      </c>
      <c r="D93" s="885">
        <v>100000</v>
      </c>
      <c r="E93" s="885"/>
      <c r="F93" s="230"/>
      <c r="G93" s="230"/>
      <c r="H93" s="230"/>
    </row>
    <row r="94" spans="1:8" ht="15.75" x14ac:dyDescent="0.25">
      <c r="A94" s="231"/>
      <c r="B94" s="231"/>
      <c r="C94" s="235" t="s">
        <v>390</v>
      </c>
      <c r="D94" s="885">
        <v>10000</v>
      </c>
      <c r="E94" s="885"/>
      <c r="F94" s="230"/>
      <c r="G94" s="230"/>
      <c r="H94" s="230"/>
    </row>
    <row r="95" spans="1:8" ht="31.5" x14ac:dyDescent="0.25">
      <c r="A95" s="231"/>
      <c r="B95" s="231"/>
      <c r="C95" s="235" t="s">
        <v>391</v>
      </c>
      <c r="D95" s="885"/>
      <c r="E95" s="885"/>
      <c r="F95" s="230"/>
      <c r="G95" s="230"/>
      <c r="H95" s="230"/>
    </row>
    <row r="96" spans="1:8" ht="31.5" x14ac:dyDescent="0.25">
      <c r="A96" s="231"/>
      <c r="B96" s="231"/>
      <c r="C96" s="235" t="s">
        <v>392</v>
      </c>
      <c r="D96" s="885">
        <v>60000</v>
      </c>
      <c r="E96" s="885"/>
      <c r="F96" s="230"/>
      <c r="G96" s="230"/>
      <c r="H96" s="230"/>
    </row>
    <row r="97" spans="1:8" ht="31.5" x14ac:dyDescent="0.25">
      <c r="A97" s="231"/>
      <c r="B97" s="231"/>
      <c r="C97" s="235" t="s">
        <v>393</v>
      </c>
      <c r="D97" s="885">
        <v>400000</v>
      </c>
      <c r="E97" s="885"/>
      <c r="F97" s="230"/>
      <c r="G97" s="230"/>
      <c r="H97" s="230"/>
    </row>
    <row r="98" spans="1:8" ht="31.5" x14ac:dyDescent="0.25">
      <c r="A98" s="231"/>
      <c r="B98" s="231"/>
      <c r="C98" s="235" t="s">
        <v>394</v>
      </c>
      <c r="D98" s="885">
        <v>50000</v>
      </c>
      <c r="E98" s="885"/>
      <c r="F98" s="230"/>
      <c r="G98" s="230"/>
      <c r="H98" s="230"/>
    </row>
    <row r="99" spans="1:8" ht="31.5" x14ac:dyDescent="0.25">
      <c r="A99" s="231"/>
      <c r="B99" s="231"/>
      <c r="C99" s="236" t="s">
        <v>395</v>
      </c>
      <c r="D99" s="885">
        <v>30000</v>
      </c>
      <c r="E99" s="885"/>
      <c r="F99" s="230"/>
      <c r="G99" s="230"/>
      <c r="H99" s="230"/>
    </row>
    <row r="100" spans="1:8" ht="31.5" x14ac:dyDescent="0.25">
      <c r="A100" s="231"/>
      <c r="B100" s="231"/>
      <c r="C100" s="233" t="s">
        <v>396</v>
      </c>
      <c r="D100" s="885">
        <v>30000</v>
      </c>
      <c r="E100" s="885"/>
      <c r="F100" s="230"/>
      <c r="G100" s="230"/>
      <c r="H100" s="230"/>
    </row>
    <row r="101" spans="1:8" ht="31.5" x14ac:dyDescent="0.25">
      <c r="A101" s="231"/>
      <c r="B101" s="231"/>
      <c r="C101" s="233" t="s">
        <v>397</v>
      </c>
      <c r="D101" s="885">
        <v>20000</v>
      </c>
      <c r="E101" s="885"/>
      <c r="F101" s="230"/>
      <c r="G101" s="230"/>
      <c r="H101" s="230"/>
    </row>
    <row r="102" spans="1:8" ht="31.5" x14ac:dyDescent="0.25">
      <c r="A102" s="231"/>
      <c r="B102" s="231"/>
      <c r="C102" s="233" t="s">
        <v>398</v>
      </c>
      <c r="D102" s="885">
        <v>15000</v>
      </c>
      <c r="E102" s="885"/>
      <c r="F102" s="230"/>
      <c r="G102" s="230"/>
      <c r="H102" s="230"/>
    </row>
    <row r="103" spans="1:8" ht="31.5" x14ac:dyDescent="0.25">
      <c r="A103" s="231"/>
      <c r="B103" s="231"/>
      <c r="C103" s="233" t="s">
        <v>399</v>
      </c>
      <c r="D103" s="885">
        <v>30000</v>
      </c>
      <c r="E103" s="885"/>
      <c r="F103" s="230"/>
      <c r="G103" s="230"/>
      <c r="H103" s="230"/>
    </row>
    <row r="104" spans="1:8" ht="31.5" x14ac:dyDescent="0.25">
      <c r="A104" s="231"/>
      <c r="B104" s="231"/>
      <c r="C104" s="233" t="s">
        <v>400</v>
      </c>
      <c r="D104" s="885">
        <v>5000</v>
      </c>
      <c r="E104" s="885"/>
      <c r="F104" s="230"/>
      <c r="G104" s="230"/>
      <c r="H104" s="230"/>
    </row>
    <row r="105" spans="1:8" ht="31.5" x14ac:dyDescent="0.25">
      <c r="A105" s="231"/>
      <c r="B105" s="231"/>
      <c r="C105" s="233" t="s">
        <v>401</v>
      </c>
      <c r="D105" s="885">
        <v>70000</v>
      </c>
      <c r="E105" s="885"/>
      <c r="F105" s="230"/>
      <c r="G105" s="230"/>
      <c r="H105" s="230"/>
    </row>
    <row r="106" spans="1:8" ht="47.25" x14ac:dyDescent="0.25">
      <c r="A106" s="231"/>
      <c r="B106" s="231"/>
      <c r="C106" s="233" t="s">
        <v>402</v>
      </c>
      <c r="D106" s="885">
        <v>2000</v>
      </c>
      <c r="E106" s="885"/>
      <c r="F106" s="230"/>
      <c r="G106" s="230"/>
      <c r="H106" s="230"/>
    </row>
    <row r="107" spans="1:8" ht="47.25" x14ac:dyDescent="0.25">
      <c r="A107" s="231"/>
      <c r="B107" s="231"/>
      <c r="C107" s="233" t="s">
        <v>403</v>
      </c>
      <c r="D107" s="885">
        <v>1000</v>
      </c>
      <c r="E107" s="885"/>
      <c r="F107" s="230"/>
      <c r="G107" s="230"/>
      <c r="H107" s="230"/>
    </row>
    <row r="108" spans="1:8" ht="31.5" x14ac:dyDescent="0.25">
      <c r="A108" s="231"/>
      <c r="B108" s="231"/>
      <c r="C108" s="233" t="s">
        <v>404</v>
      </c>
      <c r="D108" s="885">
        <v>10000</v>
      </c>
      <c r="E108" s="885"/>
      <c r="F108" s="230"/>
      <c r="G108" s="230"/>
      <c r="H108" s="230"/>
    </row>
    <row r="109" spans="1:8" ht="63" x14ac:dyDescent="0.25">
      <c r="A109" s="231"/>
      <c r="B109" s="231"/>
      <c r="C109" s="233" t="s">
        <v>405</v>
      </c>
      <c r="D109" s="885">
        <v>6000</v>
      </c>
      <c r="E109" s="885"/>
      <c r="F109" s="230"/>
      <c r="G109" s="230"/>
      <c r="H109" s="230"/>
    </row>
    <row r="110" spans="1:8" ht="31.5" x14ac:dyDescent="0.25">
      <c r="A110" s="231"/>
      <c r="B110" s="231"/>
      <c r="C110" s="233" t="s">
        <v>406</v>
      </c>
      <c r="D110" s="885">
        <v>40000</v>
      </c>
      <c r="E110" s="885"/>
      <c r="F110" s="230"/>
      <c r="G110" s="230"/>
      <c r="H110" s="230"/>
    </row>
    <row r="111" spans="1:8" ht="15.75" x14ac:dyDescent="0.25">
      <c r="A111" s="231"/>
      <c r="B111" s="231"/>
      <c r="C111" s="230"/>
      <c r="D111" s="885"/>
      <c r="E111" s="885"/>
      <c r="F111" s="230"/>
      <c r="G111" s="230"/>
      <c r="H111" s="230"/>
    </row>
    <row r="112" spans="1:8" ht="15.75" x14ac:dyDescent="0.25">
      <c r="A112" s="231"/>
      <c r="B112" s="231"/>
      <c r="C112" s="230"/>
      <c r="D112" s="885"/>
      <c r="E112" s="885"/>
      <c r="F112" s="230"/>
      <c r="G112" s="230"/>
      <c r="H112" s="230"/>
    </row>
    <row r="113" spans="1:8" ht="15.75" x14ac:dyDescent="0.25">
      <c r="A113" s="231"/>
      <c r="B113" s="231"/>
      <c r="C113" s="230"/>
      <c r="D113" s="885"/>
      <c r="E113" s="885"/>
      <c r="F113" s="230"/>
      <c r="G113" s="230"/>
      <c r="H113" s="230"/>
    </row>
    <row r="114" spans="1:8" ht="15.75" x14ac:dyDescent="0.25">
      <c r="A114" s="231" t="s">
        <v>407</v>
      </c>
      <c r="B114" s="231" t="s">
        <v>408</v>
      </c>
      <c r="C114" s="230" t="s">
        <v>409</v>
      </c>
      <c r="D114" s="885"/>
      <c r="E114" s="885"/>
      <c r="F114" s="230"/>
      <c r="G114" s="230"/>
      <c r="H114" s="230"/>
    </row>
    <row r="115" spans="1:8" ht="15.75" x14ac:dyDescent="0.25">
      <c r="A115" s="231"/>
      <c r="B115" s="231"/>
      <c r="C115" s="230" t="s">
        <v>410</v>
      </c>
      <c r="D115" s="885">
        <v>700000</v>
      </c>
      <c r="E115" s="885" t="s">
        <v>411</v>
      </c>
      <c r="F115" s="230"/>
      <c r="G115" s="230"/>
      <c r="H115" s="230"/>
    </row>
    <row r="116" spans="1:8" ht="15.75" x14ac:dyDescent="0.25">
      <c r="A116" s="231"/>
      <c r="B116" s="231"/>
      <c r="C116" s="230" t="s">
        <v>412</v>
      </c>
      <c r="D116" s="885">
        <v>500000</v>
      </c>
      <c r="E116" s="885" t="s">
        <v>411</v>
      </c>
      <c r="F116" s="230"/>
      <c r="G116" s="230"/>
      <c r="H116" s="230"/>
    </row>
    <row r="117" spans="1:8" ht="15.75" x14ac:dyDescent="0.25">
      <c r="A117" s="231"/>
      <c r="B117" s="231"/>
      <c r="C117" s="230" t="s">
        <v>413</v>
      </c>
      <c r="D117" s="885">
        <v>300000</v>
      </c>
      <c r="E117" s="885" t="s">
        <v>411</v>
      </c>
      <c r="F117" s="230"/>
      <c r="G117" s="230"/>
      <c r="H117" s="230"/>
    </row>
    <row r="118" spans="1:8" ht="31.5" x14ac:dyDescent="0.25">
      <c r="A118" s="231"/>
      <c r="B118" s="231"/>
      <c r="C118" s="232" t="s">
        <v>414</v>
      </c>
      <c r="D118" s="885">
        <v>15000</v>
      </c>
      <c r="E118" s="885" t="s">
        <v>415</v>
      </c>
      <c r="F118" s="230"/>
      <c r="G118" s="230"/>
      <c r="H118" s="230"/>
    </row>
    <row r="119" spans="1:8" ht="15.75" x14ac:dyDescent="0.25">
      <c r="A119" s="231"/>
      <c r="B119" s="231"/>
      <c r="C119" s="230" t="s">
        <v>299</v>
      </c>
      <c r="D119" s="885">
        <v>24000</v>
      </c>
      <c r="E119" s="885" t="s">
        <v>416</v>
      </c>
      <c r="F119" s="230"/>
      <c r="G119" s="230"/>
      <c r="H119" s="230"/>
    </row>
    <row r="120" spans="1:8" ht="15.75" x14ac:dyDescent="0.25">
      <c r="A120" s="231"/>
      <c r="B120" s="231"/>
      <c r="C120" s="230" t="s">
        <v>417</v>
      </c>
      <c r="D120" s="885">
        <v>24000</v>
      </c>
      <c r="E120" s="885" t="s">
        <v>416</v>
      </c>
      <c r="F120" s="230"/>
      <c r="G120" s="230"/>
      <c r="H120" s="230"/>
    </row>
    <row r="121" spans="1:8" ht="15.75" x14ac:dyDescent="0.25">
      <c r="A121" s="231"/>
      <c r="B121" s="231"/>
      <c r="C121" s="230" t="s">
        <v>418</v>
      </c>
      <c r="D121" s="885">
        <v>24000</v>
      </c>
      <c r="E121" s="885" t="s">
        <v>416</v>
      </c>
      <c r="F121" s="230"/>
      <c r="G121" s="230"/>
      <c r="H121" s="230"/>
    </row>
    <row r="122" spans="1:8" ht="15.75" x14ac:dyDescent="0.25">
      <c r="A122" s="231"/>
      <c r="B122" s="231"/>
      <c r="C122" s="230" t="s">
        <v>347</v>
      </c>
      <c r="D122" s="885">
        <v>24000</v>
      </c>
      <c r="E122" s="885" t="s">
        <v>416</v>
      </c>
      <c r="F122" s="230"/>
      <c r="G122" s="230"/>
      <c r="H122" s="230"/>
    </row>
    <row r="123" spans="1:8" ht="15.75" x14ac:dyDescent="0.25">
      <c r="A123" s="231"/>
      <c r="B123" s="231"/>
      <c r="C123" s="230" t="s">
        <v>419</v>
      </c>
      <c r="D123" s="885">
        <v>24000</v>
      </c>
      <c r="E123" s="885" t="s">
        <v>416</v>
      </c>
      <c r="F123" s="230"/>
      <c r="G123" s="230"/>
      <c r="H123" s="230"/>
    </row>
    <row r="124" spans="1:8" ht="15.75" x14ac:dyDescent="0.25">
      <c r="A124" s="231"/>
      <c r="B124" s="231"/>
      <c r="C124" s="230" t="s">
        <v>420</v>
      </c>
      <c r="D124" s="885">
        <v>50000</v>
      </c>
      <c r="E124" s="885" t="s">
        <v>416</v>
      </c>
      <c r="F124" s="230"/>
      <c r="G124" s="230"/>
      <c r="H124" s="230"/>
    </row>
    <row r="125" spans="1:8" ht="31.5" x14ac:dyDescent="0.25">
      <c r="A125" s="231"/>
      <c r="B125" s="231"/>
      <c r="C125" s="232" t="s">
        <v>421</v>
      </c>
      <c r="D125" s="885">
        <v>80000</v>
      </c>
      <c r="E125" s="885" t="s">
        <v>415</v>
      </c>
      <c r="F125" s="230"/>
      <c r="G125" s="230"/>
      <c r="H125" s="230"/>
    </row>
    <row r="126" spans="1:8" ht="15.75" x14ac:dyDescent="0.25">
      <c r="A126" s="231"/>
      <c r="B126" s="231"/>
      <c r="C126" s="230"/>
      <c r="D126" s="885"/>
      <c r="E126" s="885"/>
      <c r="F126" s="230"/>
      <c r="G126" s="230"/>
      <c r="H126" s="230"/>
    </row>
    <row r="127" spans="1:8" ht="15.75" x14ac:dyDescent="0.25">
      <c r="A127" s="231"/>
      <c r="B127" s="231"/>
      <c r="C127" s="230"/>
      <c r="D127" s="885"/>
      <c r="E127" s="885"/>
      <c r="F127" s="230"/>
      <c r="G127" s="230"/>
      <c r="H127" s="230"/>
    </row>
    <row r="128" spans="1:8" ht="15.75" x14ac:dyDescent="0.25">
      <c r="A128" s="231" t="s">
        <v>422</v>
      </c>
      <c r="B128" s="231" t="s">
        <v>14</v>
      </c>
      <c r="C128" s="230" t="s">
        <v>375</v>
      </c>
      <c r="D128" s="885"/>
      <c r="E128" s="885"/>
      <c r="F128" s="230"/>
      <c r="G128" s="230"/>
      <c r="H128" s="230"/>
    </row>
    <row r="129" spans="1:8" ht="15.75" x14ac:dyDescent="0.25">
      <c r="A129" s="231"/>
      <c r="B129" s="231"/>
      <c r="C129" s="234" t="s">
        <v>423</v>
      </c>
      <c r="D129" s="885">
        <v>720000</v>
      </c>
      <c r="E129" s="885" t="s">
        <v>360</v>
      </c>
      <c r="F129" s="230"/>
      <c r="G129" s="234"/>
      <c r="H129" s="230"/>
    </row>
    <row r="130" spans="1:8" ht="15.75" x14ac:dyDescent="0.25">
      <c r="A130" s="231"/>
      <c r="B130" s="231"/>
      <c r="C130" s="234" t="s">
        <v>424</v>
      </c>
      <c r="D130" s="885">
        <v>600000</v>
      </c>
      <c r="E130" s="885" t="s">
        <v>360</v>
      </c>
      <c r="F130" s="230"/>
      <c r="G130" s="234"/>
      <c r="H130" s="230"/>
    </row>
    <row r="131" spans="1:8" ht="15.75" x14ac:dyDescent="0.25">
      <c r="A131" s="231"/>
      <c r="B131" s="231"/>
      <c r="C131" s="234" t="s">
        <v>425</v>
      </c>
      <c r="D131" s="885">
        <v>600000</v>
      </c>
      <c r="E131" s="885" t="s">
        <v>360</v>
      </c>
      <c r="F131" s="230"/>
      <c r="G131" s="234"/>
      <c r="H131" s="230"/>
    </row>
    <row r="132" spans="1:8" ht="15.75" x14ac:dyDescent="0.25">
      <c r="A132" s="231"/>
      <c r="B132" s="231"/>
      <c r="C132" s="234" t="s">
        <v>426</v>
      </c>
      <c r="D132" s="885">
        <v>300000</v>
      </c>
      <c r="E132" s="885" t="s">
        <v>360</v>
      </c>
      <c r="F132" s="230"/>
      <c r="G132" s="234"/>
      <c r="H132" s="230"/>
    </row>
    <row r="133" spans="1:8" ht="15.75" x14ac:dyDescent="0.25">
      <c r="A133" s="231"/>
      <c r="B133" s="231"/>
      <c r="C133" s="234" t="s">
        <v>427</v>
      </c>
      <c r="D133" s="885">
        <v>144000</v>
      </c>
      <c r="E133" s="885" t="s">
        <v>360</v>
      </c>
      <c r="F133" s="230"/>
      <c r="G133" s="234"/>
      <c r="H133" s="230"/>
    </row>
    <row r="134" spans="1:8" ht="15.75" x14ac:dyDescent="0.25">
      <c r="A134" s="231"/>
      <c r="B134" s="231"/>
      <c r="C134" s="234" t="s">
        <v>428</v>
      </c>
      <c r="D134" s="885">
        <v>180000</v>
      </c>
      <c r="E134" s="885" t="s">
        <v>360</v>
      </c>
      <c r="F134" s="230"/>
      <c r="G134" s="234"/>
      <c r="H134" s="230"/>
    </row>
    <row r="135" spans="1:8" ht="15.75" x14ac:dyDescent="0.25">
      <c r="A135" s="231"/>
      <c r="B135" s="231"/>
      <c r="C135" s="234" t="s">
        <v>429</v>
      </c>
      <c r="D135" s="885">
        <v>144000</v>
      </c>
      <c r="E135" s="885" t="s">
        <v>360</v>
      </c>
      <c r="F135" s="230"/>
      <c r="G135" s="234"/>
      <c r="H135" s="230"/>
    </row>
    <row r="136" spans="1:8" ht="15.75" x14ac:dyDescent="0.25">
      <c r="A136" s="231"/>
      <c r="B136" s="231"/>
      <c r="C136" s="234" t="s">
        <v>430</v>
      </c>
      <c r="D136" s="885">
        <v>600000</v>
      </c>
      <c r="E136" s="885" t="s">
        <v>360</v>
      </c>
      <c r="F136" s="230"/>
      <c r="G136" s="234"/>
      <c r="H136" s="230"/>
    </row>
    <row r="137" spans="1:8" ht="15.75" x14ac:dyDescent="0.25">
      <c r="A137" s="231"/>
      <c r="B137" s="231"/>
      <c r="C137" s="234" t="s">
        <v>431</v>
      </c>
      <c r="D137" s="885">
        <v>180000</v>
      </c>
      <c r="E137" s="885" t="s">
        <v>360</v>
      </c>
      <c r="F137" s="230"/>
      <c r="G137" s="234"/>
      <c r="H137" s="230"/>
    </row>
    <row r="138" spans="1:8" ht="15.75" x14ac:dyDescent="0.25">
      <c r="A138" s="231"/>
      <c r="B138" s="231"/>
      <c r="C138" s="234" t="s">
        <v>432</v>
      </c>
      <c r="D138" s="885">
        <v>240000</v>
      </c>
      <c r="E138" s="885" t="s">
        <v>360</v>
      </c>
      <c r="F138" s="230"/>
      <c r="G138" s="234"/>
      <c r="H138" s="230"/>
    </row>
    <row r="139" spans="1:8" ht="31.5" x14ac:dyDescent="0.25">
      <c r="A139" s="231"/>
      <c r="B139" s="231"/>
      <c r="C139" s="233" t="s">
        <v>433</v>
      </c>
      <c r="D139" s="885">
        <v>420000</v>
      </c>
      <c r="E139" s="885" t="s">
        <v>360</v>
      </c>
      <c r="F139" s="230"/>
      <c r="G139" s="234"/>
      <c r="H139" s="230"/>
    </row>
    <row r="140" spans="1:8" ht="15.75" x14ac:dyDescent="0.25">
      <c r="A140" s="231"/>
      <c r="B140" s="231"/>
      <c r="C140" s="237" t="s">
        <v>417</v>
      </c>
      <c r="D140" s="885"/>
      <c r="E140" s="885" t="s">
        <v>360</v>
      </c>
      <c r="F140" s="230"/>
      <c r="G140" s="234"/>
      <c r="H140" s="230"/>
    </row>
    <row r="141" spans="1:8" ht="15.75" x14ac:dyDescent="0.25">
      <c r="A141" s="231"/>
      <c r="B141" s="231"/>
      <c r="C141" s="234" t="s">
        <v>434</v>
      </c>
      <c r="D141" s="885">
        <v>600000</v>
      </c>
      <c r="E141" s="885" t="s">
        <v>360</v>
      </c>
      <c r="F141" s="230"/>
      <c r="G141" s="234"/>
      <c r="H141" s="230"/>
    </row>
    <row r="142" spans="1:8" ht="15.75" x14ac:dyDescent="0.25">
      <c r="A142" s="231"/>
      <c r="B142" s="231"/>
      <c r="C142" s="237" t="s">
        <v>435</v>
      </c>
      <c r="D142" s="885"/>
      <c r="E142" s="885" t="s">
        <v>360</v>
      </c>
      <c r="F142" s="230"/>
      <c r="G142" s="234"/>
      <c r="H142" s="230"/>
    </row>
    <row r="143" spans="1:8" ht="15.75" x14ac:dyDescent="0.25">
      <c r="A143" s="231"/>
      <c r="B143" s="231"/>
      <c r="C143" s="234" t="s">
        <v>436</v>
      </c>
      <c r="D143" s="885">
        <v>720000</v>
      </c>
      <c r="E143" s="885" t="s">
        <v>360</v>
      </c>
      <c r="F143" s="230"/>
      <c r="G143" s="234"/>
      <c r="H143" s="230"/>
    </row>
    <row r="144" spans="1:8" ht="15.75" x14ac:dyDescent="0.25">
      <c r="A144" s="231"/>
      <c r="B144" s="231"/>
      <c r="C144" s="234" t="s">
        <v>437</v>
      </c>
      <c r="D144" s="885">
        <v>228000</v>
      </c>
      <c r="E144" s="885" t="s">
        <v>360</v>
      </c>
      <c r="F144" s="230"/>
      <c r="G144" s="234"/>
      <c r="H144" s="230"/>
    </row>
    <row r="145" spans="1:8" ht="15.75" x14ac:dyDescent="0.25">
      <c r="A145" s="231"/>
      <c r="B145" s="231"/>
      <c r="C145" s="234" t="s">
        <v>438</v>
      </c>
      <c r="D145" s="885">
        <v>156000</v>
      </c>
      <c r="E145" s="885" t="s">
        <v>360</v>
      </c>
      <c r="F145" s="230"/>
      <c r="G145" s="234"/>
      <c r="H145" s="230"/>
    </row>
    <row r="146" spans="1:8" ht="15.75" x14ac:dyDescent="0.25">
      <c r="A146" s="231"/>
      <c r="B146" s="231"/>
      <c r="C146" s="237" t="s">
        <v>418</v>
      </c>
      <c r="D146" s="885"/>
      <c r="E146" s="885" t="s">
        <v>360</v>
      </c>
      <c r="F146" s="230"/>
      <c r="G146" s="234"/>
      <c r="H146" s="230"/>
    </row>
    <row r="147" spans="1:8" ht="15.75" x14ac:dyDescent="0.25">
      <c r="A147" s="231"/>
      <c r="B147" s="231"/>
      <c r="C147" s="234" t="s">
        <v>439</v>
      </c>
      <c r="D147" s="885">
        <v>180000</v>
      </c>
      <c r="E147" s="885" t="s">
        <v>360</v>
      </c>
      <c r="F147" s="230"/>
      <c r="G147" s="234"/>
      <c r="H147" s="230"/>
    </row>
    <row r="148" spans="1:8" ht="15.75" x14ac:dyDescent="0.25">
      <c r="A148" s="231"/>
      <c r="B148" s="231"/>
      <c r="C148" s="234" t="s">
        <v>440</v>
      </c>
      <c r="D148" s="885">
        <v>120000</v>
      </c>
      <c r="E148" s="885" t="s">
        <v>360</v>
      </c>
      <c r="F148" s="230"/>
      <c r="G148" s="234"/>
      <c r="H148" s="230"/>
    </row>
    <row r="149" spans="1:8" ht="15.75" x14ac:dyDescent="0.25">
      <c r="A149" s="231"/>
      <c r="B149" s="231"/>
      <c r="C149" s="238" t="s">
        <v>441</v>
      </c>
      <c r="D149" s="885"/>
      <c r="E149" s="885" t="s">
        <v>360</v>
      </c>
      <c r="F149" s="230"/>
      <c r="G149" s="234"/>
      <c r="H149" s="230"/>
    </row>
    <row r="150" spans="1:8" ht="15.75" x14ac:dyDescent="0.25">
      <c r="A150" s="231"/>
      <c r="B150" s="231"/>
      <c r="C150" s="234" t="s">
        <v>442</v>
      </c>
      <c r="D150" s="885">
        <v>480000</v>
      </c>
      <c r="E150" s="885" t="s">
        <v>360</v>
      </c>
      <c r="F150" s="230"/>
      <c r="G150" s="234"/>
      <c r="H150" s="230"/>
    </row>
    <row r="151" spans="1:8" ht="15.75" x14ac:dyDescent="0.25">
      <c r="A151" s="231"/>
      <c r="B151" s="231"/>
      <c r="C151" s="234" t="s">
        <v>443</v>
      </c>
      <c r="D151" s="885">
        <v>180000</v>
      </c>
      <c r="E151" s="885" t="s">
        <v>360</v>
      </c>
      <c r="F151" s="230"/>
      <c r="G151" s="234"/>
      <c r="H151" s="230"/>
    </row>
    <row r="152" spans="1:8" ht="15.75" x14ac:dyDescent="0.25">
      <c r="A152" s="231"/>
      <c r="B152" s="231"/>
      <c r="C152" s="234" t="s">
        <v>444</v>
      </c>
      <c r="D152" s="885">
        <v>180000</v>
      </c>
      <c r="E152" s="885" t="s">
        <v>360</v>
      </c>
      <c r="F152" s="230"/>
      <c r="G152" s="234"/>
      <c r="H152" s="230"/>
    </row>
    <row r="153" spans="1:8" ht="15.75" x14ac:dyDescent="0.25">
      <c r="A153" s="231"/>
      <c r="B153" s="231"/>
      <c r="C153" s="234" t="s">
        <v>935</v>
      </c>
      <c r="D153" s="885">
        <v>138000</v>
      </c>
      <c r="E153" s="885" t="s">
        <v>360</v>
      </c>
      <c r="F153" s="230"/>
      <c r="G153" s="234"/>
      <c r="H153" s="230"/>
    </row>
    <row r="154" spans="1:8" ht="15.75" x14ac:dyDescent="0.25">
      <c r="A154" s="231"/>
      <c r="B154" s="231"/>
      <c r="C154" s="234" t="s">
        <v>445</v>
      </c>
      <c r="D154" s="885">
        <v>120000</v>
      </c>
      <c r="E154" s="885" t="s">
        <v>360</v>
      </c>
      <c r="F154" s="230"/>
      <c r="G154" s="234"/>
      <c r="H154" s="230"/>
    </row>
    <row r="155" spans="1:8" ht="15.75" x14ac:dyDescent="0.25">
      <c r="A155" s="231"/>
      <c r="B155" s="231"/>
      <c r="C155" s="234" t="s">
        <v>446</v>
      </c>
      <c r="D155" s="885">
        <v>120000</v>
      </c>
      <c r="E155" s="885" t="s">
        <v>360</v>
      </c>
      <c r="F155" s="230"/>
      <c r="G155" s="234"/>
      <c r="H155" s="230"/>
    </row>
    <row r="156" spans="1:8" ht="15.75" x14ac:dyDescent="0.25">
      <c r="A156" s="231"/>
      <c r="B156" s="231"/>
      <c r="C156" s="234" t="s">
        <v>447</v>
      </c>
      <c r="D156" s="885">
        <v>126000</v>
      </c>
      <c r="E156" s="885" t="s">
        <v>360</v>
      </c>
      <c r="F156" s="230"/>
      <c r="G156" s="234"/>
      <c r="H156" s="230"/>
    </row>
    <row r="157" spans="1:8" ht="15.75" x14ac:dyDescent="0.25">
      <c r="A157" s="231"/>
      <c r="B157" s="231"/>
      <c r="C157" s="234" t="s">
        <v>448</v>
      </c>
      <c r="D157" s="885">
        <v>228000</v>
      </c>
      <c r="E157" s="885" t="s">
        <v>360</v>
      </c>
      <c r="F157" s="230"/>
      <c r="G157" s="234"/>
      <c r="H157" s="230"/>
    </row>
    <row r="158" spans="1:8" ht="15.75" x14ac:dyDescent="0.25">
      <c r="A158" s="231"/>
      <c r="B158" s="231"/>
      <c r="C158" s="234" t="s">
        <v>449</v>
      </c>
      <c r="D158" s="885">
        <v>540000</v>
      </c>
      <c r="E158" s="885" t="s">
        <v>360</v>
      </c>
      <c r="F158" s="230"/>
      <c r="G158" s="234"/>
      <c r="H158" s="230"/>
    </row>
    <row r="159" spans="1:8" ht="15.75" x14ac:dyDescent="0.25">
      <c r="A159" s="231"/>
      <c r="B159" s="231"/>
      <c r="C159" s="234" t="s">
        <v>450</v>
      </c>
      <c r="D159" s="885">
        <v>228000</v>
      </c>
      <c r="E159" s="885" t="s">
        <v>360</v>
      </c>
      <c r="F159" s="230"/>
      <c r="G159" s="234"/>
      <c r="H159" s="230"/>
    </row>
    <row r="160" spans="1:8" ht="15.75" x14ac:dyDescent="0.25">
      <c r="A160" s="231"/>
      <c r="B160" s="231"/>
      <c r="C160" s="234" t="s">
        <v>451</v>
      </c>
      <c r="D160" s="885">
        <v>480000</v>
      </c>
      <c r="E160" s="885" t="s">
        <v>360</v>
      </c>
      <c r="F160" s="230"/>
      <c r="G160" s="234"/>
      <c r="H160" s="230"/>
    </row>
    <row r="161" spans="1:8" ht="15.75" x14ac:dyDescent="0.25">
      <c r="A161" s="231"/>
      <c r="B161" s="231"/>
      <c r="C161" s="234" t="s">
        <v>452</v>
      </c>
      <c r="D161" s="885">
        <v>120000</v>
      </c>
      <c r="E161" s="885" t="s">
        <v>360</v>
      </c>
      <c r="F161" s="230"/>
      <c r="G161" s="234"/>
      <c r="H161" s="230"/>
    </row>
    <row r="162" spans="1:8" ht="15.75" x14ac:dyDescent="0.25">
      <c r="A162" s="231"/>
      <c r="B162" s="231"/>
      <c r="C162" s="234" t="s">
        <v>453</v>
      </c>
      <c r="D162" s="885">
        <v>120000</v>
      </c>
      <c r="E162" s="885" t="s">
        <v>360</v>
      </c>
      <c r="F162" s="230"/>
      <c r="G162" s="234"/>
      <c r="H162" s="230"/>
    </row>
    <row r="163" spans="1:8" ht="15.75" x14ac:dyDescent="0.25">
      <c r="A163" s="231"/>
      <c r="B163" s="231"/>
      <c r="C163" s="234" t="s">
        <v>454</v>
      </c>
      <c r="D163" s="885">
        <v>120000</v>
      </c>
      <c r="E163" s="885" t="s">
        <v>360</v>
      </c>
      <c r="F163" s="230"/>
      <c r="G163" s="234"/>
      <c r="H163" s="230"/>
    </row>
    <row r="164" spans="1:8" ht="15.75" x14ac:dyDescent="0.25">
      <c r="A164" s="231"/>
      <c r="B164" s="231"/>
      <c r="C164" s="234" t="s">
        <v>455</v>
      </c>
      <c r="D164" s="885">
        <v>120000</v>
      </c>
      <c r="E164" s="885" t="s">
        <v>360</v>
      </c>
      <c r="F164" s="230"/>
      <c r="G164" s="234"/>
      <c r="H164" s="230"/>
    </row>
    <row r="165" spans="1:8" ht="15.75" x14ac:dyDescent="0.25">
      <c r="A165" s="231"/>
      <c r="B165" s="231"/>
      <c r="C165" s="234" t="s">
        <v>456</v>
      </c>
      <c r="D165" s="885">
        <v>264000</v>
      </c>
      <c r="E165" s="885" t="s">
        <v>360</v>
      </c>
      <c r="F165" s="230"/>
      <c r="G165" s="234"/>
      <c r="H165" s="230"/>
    </row>
    <row r="166" spans="1:8" ht="15.75" x14ac:dyDescent="0.25">
      <c r="A166" s="231"/>
      <c r="B166" s="231"/>
      <c r="C166" s="230"/>
      <c r="D166" s="885"/>
      <c r="E166" s="885"/>
      <c r="F166" s="230"/>
      <c r="G166" s="230"/>
      <c r="H166" s="230"/>
    </row>
    <row r="167" spans="1:8" ht="15.75" x14ac:dyDescent="0.25">
      <c r="A167" s="231" t="s">
        <v>457</v>
      </c>
      <c r="B167" s="231" t="s">
        <v>15</v>
      </c>
      <c r="C167" s="230" t="s">
        <v>458</v>
      </c>
      <c r="D167" s="887">
        <v>225000</v>
      </c>
      <c r="E167" s="885" t="s">
        <v>415</v>
      </c>
      <c r="F167" s="230"/>
      <c r="G167" s="230"/>
      <c r="H167" s="230"/>
    </row>
    <row r="168" spans="1:8" ht="15.75" x14ac:dyDescent="0.25">
      <c r="A168" s="231"/>
      <c r="B168" s="231"/>
      <c r="C168" s="230" t="s">
        <v>318</v>
      </c>
      <c r="D168" s="885"/>
      <c r="E168" s="885"/>
      <c r="F168" s="230"/>
      <c r="G168" s="230"/>
      <c r="H168" s="230"/>
    </row>
    <row r="169" spans="1:8" ht="15.75" x14ac:dyDescent="0.25">
      <c r="A169" s="231"/>
      <c r="B169" s="231"/>
      <c r="C169" s="230"/>
      <c r="D169" s="885"/>
      <c r="E169" s="885"/>
      <c r="F169" s="230"/>
      <c r="G169" s="230"/>
      <c r="H169" s="230"/>
    </row>
    <row r="170" spans="1:8" ht="15.75" x14ac:dyDescent="0.25">
      <c r="A170" s="231" t="s">
        <v>459</v>
      </c>
      <c r="B170" s="231" t="s">
        <v>460</v>
      </c>
      <c r="C170" s="234" t="s">
        <v>229</v>
      </c>
      <c r="D170" s="885"/>
      <c r="E170" s="885"/>
      <c r="F170" s="230"/>
      <c r="G170" s="230"/>
      <c r="H170" s="230"/>
    </row>
    <row r="171" spans="1:8" ht="15.75" x14ac:dyDescent="0.25">
      <c r="A171" s="231"/>
      <c r="B171" s="231"/>
      <c r="C171" s="234" t="s">
        <v>461</v>
      </c>
      <c r="D171" s="885"/>
      <c r="E171" s="885"/>
      <c r="F171" s="230"/>
      <c r="G171" s="230"/>
      <c r="H171" s="230"/>
    </row>
    <row r="172" spans="1:8" ht="15.75" x14ac:dyDescent="0.25">
      <c r="A172" s="231"/>
      <c r="B172" s="231"/>
      <c r="C172" s="234" t="s">
        <v>462</v>
      </c>
      <c r="D172" s="885"/>
      <c r="E172" s="885"/>
      <c r="F172" s="230"/>
      <c r="G172" s="230"/>
      <c r="H172" s="230"/>
    </row>
    <row r="173" spans="1:8" ht="15.75" x14ac:dyDescent="0.25">
      <c r="A173" s="231"/>
      <c r="B173" s="231"/>
      <c r="C173" s="234" t="s">
        <v>463</v>
      </c>
      <c r="D173" s="885"/>
      <c r="E173" s="885"/>
      <c r="F173" s="230"/>
      <c r="G173" s="230"/>
      <c r="H173" s="230"/>
    </row>
    <row r="174" spans="1:8" ht="15.75" x14ac:dyDescent="0.25">
      <c r="A174" s="231"/>
      <c r="B174" s="231"/>
      <c r="C174" s="230"/>
      <c r="D174" s="885"/>
      <c r="E174" s="885"/>
      <c r="F174" s="230"/>
      <c r="G174" s="230"/>
      <c r="H174" s="230"/>
    </row>
    <row r="175" spans="1:8" ht="15.75" x14ac:dyDescent="0.25">
      <c r="A175" s="231"/>
      <c r="B175" s="231"/>
      <c r="C175" s="230"/>
      <c r="D175" s="885"/>
      <c r="E175" s="885"/>
      <c r="F175" s="230"/>
      <c r="G175" s="230"/>
      <c r="H175" s="230"/>
    </row>
    <row r="176" spans="1:8" ht="15.75" x14ac:dyDescent="0.25">
      <c r="A176" s="231" t="s">
        <v>464</v>
      </c>
      <c r="B176" s="231" t="s">
        <v>465</v>
      </c>
      <c r="C176" s="230"/>
      <c r="D176" s="885"/>
      <c r="E176" s="885"/>
      <c r="F176" s="230"/>
      <c r="G176" s="230"/>
      <c r="H176" s="230"/>
    </row>
    <row r="177" spans="1:8" ht="15.75" x14ac:dyDescent="0.25">
      <c r="A177" s="231" t="s">
        <v>466</v>
      </c>
      <c r="B177" s="231" t="s">
        <v>467</v>
      </c>
      <c r="C177" s="230" t="s">
        <v>468</v>
      </c>
      <c r="D177" s="885">
        <v>65000</v>
      </c>
      <c r="E177" s="885" t="s">
        <v>368</v>
      </c>
      <c r="F177" s="230"/>
      <c r="G177" s="230"/>
      <c r="H177" s="230"/>
    </row>
    <row r="178" spans="1:8" ht="15.75" x14ac:dyDescent="0.25">
      <c r="A178" s="231"/>
      <c r="B178" s="231"/>
      <c r="C178" s="230" t="s">
        <v>469</v>
      </c>
      <c r="D178" s="885">
        <v>650000</v>
      </c>
      <c r="E178" s="885" t="s">
        <v>368</v>
      </c>
      <c r="F178" s="230"/>
      <c r="G178" s="230"/>
      <c r="H178" s="230"/>
    </row>
    <row r="179" spans="1:8" ht="15.75" x14ac:dyDescent="0.25">
      <c r="A179" s="231"/>
      <c r="B179" s="231"/>
      <c r="C179" s="230"/>
      <c r="D179" s="885"/>
      <c r="E179" s="885"/>
      <c r="F179" s="230"/>
      <c r="G179" s="230"/>
      <c r="H179" s="230"/>
    </row>
    <row r="180" spans="1:8" ht="15.75" x14ac:dyDescent="0.25">
      <c r="A180" s="231" t="s">
        <v>470</v>
      </c>
      <c r="B180" s="231" t="s">
        <v>471</v>
      </c>
      <c r="C180" s="239" t="s">
        <v>472</v>
      </c>
      <c r="D180" s="885">
        <v>60000</v>
      </c>
      <c r="E180" s="885"/>
      <c r="F180" s="230"/>
      <c r="G180" s="230"/>
      <c r="H180" s="230"/>
    </row>
    <row r="181" spans="1:8" ht="15.75" x14ac:dyDescent="0.25">
      <c r="A181" s="231"/>
      <c r="B181" s="231"/>
      <c r="C181" s="239" t="s">
        <v>344</v>
      </c>
      <c r="D181" s="885">
        <v>12000</v>
      </c>
      <c r="E181" s="885"/>
      <c r="F181" s="230"/>
      <c r="G181" s="230"/>
      <c r="H181" s="230"/>
    </row>
    <row r="182" spans="1:8" ht="15.75" x14ac:dyDescent="0.25">
      <c r="A182" s="231"/>
      <c r="B182" s="231"/>
      <c r="C182" s="239" t="s">
        <v>473</v>
      </c>
      <c r="D182" s="885">
        <v>75000</v>
      </c>
      <c r="E182" s="885"/>
      <c r="F182" s="230"/>
      <c r="G182" s="230"/>
      <c r="H182" s="230"/>
    </row>
    <row r="183" spans="1:8" ht="15.75" x14ac:dyDescent="0.25">
      <c r="A183" s="231"/>
      <c r="B183" s="231"/>
      <c r="C183" s="239" t="s">
        <v>346</v>
      </c>
      <c r="D183" s="885">
        <v>920000</v>
      </c>
      <c r="E183" s="885"/>
      <c r="F183" s="230"/>
      <c r="G183" s="230"/>
      <c r="H183" s="230"/>
    </row>
    <row r="184" spans="1:8" ht="15.75" x14ac:dyDescent="0.25">
      <c r="A184" s="231"/>
      <c r="B184" s="231"/>
      <c r="C184" s="239" t="s">
        <v>474</v>
      </c>
      <c r="D184" s="885">
        <v>10000</v>
      </c>
      <c r="E184" s="885"/>
      <c r="F184" s="230"/>
      <c r="G184" s="230"/>
      <c r="H184" s="230"/>
    </row>
    <row r="185" spans="1:8" ht="15.75" x14ac:dyDescent="0.25">
      <c r="A185" s="231"/>
      <c r="B185" s="231"/>
      <c r="C185" s="239" t="s">
        <v>475</v>
      </c>
      <c r="D185" s="885">
        <v>100000</v>
      </c>
      <c r="E185" s="885"/>
      <c r="F185" s="230"/>
      <c r="G185" s="230"/>
      <c r="H185" s="230"/>
    </row>
    <row r="186" spans="1:8" ht="15.75" x14ac:dyDescent="0.25">
      <c r="A186" s="231"/>
      <c r="B186" s="231"/>
      <c r="C186" s="240" t="s">
        <v>101</v>
      </c>
      <c r="D186" s="885">
        <v>22500</v>
      </c>
      <c r="E186" s="885"/>
      <c r="F186" s="230"/>
      <c r="G186" s="230"/>
      <c r="H186" s="230"/>
    </row>
    <row r="187" spans="1:8" ht="15.75" x14ac:dyDescent="0.25">
      <c r="A187" s="231"/>
      <c r="B187" s="231"/>
      <c r="C187" s="239" t="s">
        <v>476</v>
      </c>
      <c r="D187" s="885">
        <v>100000</v>
      </c>
      <c r="E187" s="885"/>
      <c r="F187" s="230"/>
      <c r="G187" s="230"/>
      <c r="H187" s="230"/>
    </row>
    <row r="188" spans="1:8" ht="31.5" x14ac:dyDescent="0.25">
      <c r="A188" s="231"/>
      <c r="B188" s="231"/>
      <c r="C188" s="240" t="s">
        <v>477</v>
      </c>
      <c r="D188" s="885">
        <v>500000</v>
      </c>
      <c r="E188" s="885"/>
      <c r="F188" s="230"/>
      <c r="G188" s="230"/>
      <c r="H188" s="230"/>
    </row>
    <row r="189" spans="1:8" ht="15.75" x14ac:dyDescent="0.25">
      <c r="A189" s="231"/>
      <c r="B189" s="231"/>
      <c r="C189" s="230"/>
      <c r="D189" s="885"/>
      <c r="E189" s="885"/>
      <c r="F189" s="230"/>
      <c r="G189" s="230"/>
      <c r="H189" s="230"/>
    </row>
    <row r="190" spans="1:8" ht="15.75" x14ac:dyDescent="0.25">
      <c r="A190" s="231"/>
      <c r="B190" s="231"/>
      <c r="C190" s="230"/>
      <c r="D190" s="885"/>
      <c r="E190" s="885"/>
      <c r="F190" s="230"/>
      <c r="G190" s="230"/>
      <c r="H190" s="230"/>
    </row>
    <row r="191" spans="1:8" ht="78.75" x14ac:dyDescent="0.25">
      <c r="A191" s="231" t="s">
        <v>478</v>
      </c>
      <c r="B191" s="241" t="s">
        <v>479</v>
      </c>
      <c r="C191" s="232" t="s">
        <v>929</v>
      </c>
      <c r="D191" s="885">
        <v>750</v>
      </c>
      <c r="E191" s="885" t="s">
        <v>381</v>
      </c>
      <c r="F191" s="230"/>
      <c r="G191" s="230"/>
      <c r="H191" s="230"/>
    </row>
    <row r="192" spans="1:8" ht="47.25" x14ac:dyDescent="0.25">
      <c r="A192" s="231"/>
      <c r="B192" s="231"/>
      <c r="C192" s="232" t="s">
        <v>937</v>
      </c>
      <c r="D192" s="885">
        <v>25</v>
      </c>
      <c r="E192" s="895" t="s">
        <v>938</v>
      </c>
      <c r="F192" s="230"/>
      <c r="G192" s="230"/>
      <c r="H192" s="230"/>
    </row>
    <row r="193" spans="1:8" ht="63" x14ac:dyDescent="0.25">
      <c r="A193" s="231"/>
      <c r="B193" s="231"/>
      <c r="C193" s="896" t="s">
        <v>480</v>
      </c>
      <c r="D193" s="897">
        <v>200</v>
      </c>
      <c r="E193" s="898" t="s">
        <v>481</v>
      </c>
      <c r="F193" s="232"/>
      <c r="G193" s="230"/>
      <c r="H193" s="230"/>
    </row>
    <row r="194" spans="1:8" ht="94.5" x14ac:dyDescent="0.25">
      <c r="A194" s="231"/>
      <c r="B194" s="231"/>
      <c r="C194" s="894" t="s">
        <v>930</v>
      </c>
      <c r="D194" s="885" t="s">
        <v>932</v>
      </c>
      <c r="E194" s="893" t="s">
        <v>931</v>
      </c>
      <c r="F194" s="230"/>
      <c r="G194" s="230"/>
      <c r="H194" s="230"/>
    </row>
    <row r="195" spans="1:8" ht="15.75" x14ac:dyDescent="0.25">
      <c r="A195" s="231"/>
      <c r="B195" s="231"/>
      <c r="C195" s="230"/>
      <c r="D195" s="885"/>
      <c r="E195" s="885"/>
      <c r="F195" s="230"/>
      <c r="G195" s="230"/>
      <c r="H195" s="230"/>
    </row>
    <row r="196" spans="1:8" ht="15.75" x14ac:dyDescent="0.25">
      <c r="A196" s="231"/>
      <c r="B196" s="231"/>
      <c r="C196" s="230"/>
      <c r="D196" s="885"/>
      <c r="E196" s="885"/>
      <c r="F196" s="230"/>
      <c r="G196" s="230"/>
      <c r="H196" s="230"/>
    </row>
    <row r="197" spans="1:8" ht="15.75" x14ac:dyDescent="0.25">
      <c r="A197" s="231"/>
      <c r="B197" s="231"/>
      <c r="C197" s="230"/>
      <c r="D197" s="885"/>
      <c r="E197" s="885"/>
      <c r="F197" s="230"/>
      <c r="G197" s="230"/>
      <c r="H197" s="230"/>
    </row>
    <row r="198" spans="1:8" ht="15.75" x14ac:dyDescent="0.25">
      <c r="A198" s="231" t="s">
        <v>482</v>
      </c>
      <c r="B198" s="231" t="s">
        <v>20</v>
      </c>
      <c r="C198" s="232" t="s">
        <v>316</v>
      </c>
      <c r="D198" s="885"/>
      <c r="E198" s="885"/>
      <c r="F198" s="230"/>
      <c r="G198" s="230"/>
      <c r="H198" s="230"/>
    </row>
    <row r="199" spans="1:8" ht="15.75" x14ac:dyDescent="0.25">
      <c r="A199" s="231"/>
      <c r="B199" s="231"/>
      <c r="C199" s="230" t="s">
        <v>410</v>
      </c>
      <c r="D199" s="885">
        <v>700000</v>
      </c>
      <c r="E199" s="885"/>
      <c r="F199" s="230"/>
      <c r="G199" s="230"/>
      <c r="H199" s="230"/>
    </row>
    <row r="200" spans="1:8" ht="15.75" x14ac:dyDescent="0.25">
      <c r="A200" s="231"/>
      <c r="B200" s="231"/>
      <c r="C200" s="230" t="s">
        <v>412</v>
      </c>
      <c r="D200" s="885">
        <v>500000</v>
      </c>
      <c r="E200" s="885"/>
      <c r="F200" s="230"/>
      <c r="G200" s="230"/>
      <c r="H200" s="230"/>
    </row>
    <row r="201" spans="1:8" ht="15.75" x14ac:dyDescent="0.25">
      <c r="A201" s="231"/>
      <c r="B201" s="231"/>
      <c r="C201" s="230" t="s">
        <v>413</v>
      </c>
      <c r="D201" s="885">
        <v>300000</v>
      </c>
      <c r="E201" s="885"/>
      <c r="F201" s="230"/>
      <c r="G201" s="230"/>
      <c r="H201" s="230"/>
    </row>
    <row r="202" spans="1:8" ht="31.5" x14ac:dyDescent="0.25">
      <c r="A202" s="231"/>
      <c r="B202" s="231"/>
      <c r="C202" s="232" t="s">
        <v>414</v>
      </c>
      <c r="D202" s="885">
        <v>35000</v>
      </c>
      <c r="E202" s="885" t="s">
        <v>483</v>
      </c>
      <c r="F202" s="230"/>
      <c r="G202" s="230"/>
      <c r="H202" s="230"/>
    </row>
    <row r="203" spans="1:8" ht="15.75" x14ac:dyDescent="0.25">
      <c r="A203" s="231"/>
      <c r="B203" s="231"/>
      <c r="C203" s="230" t="s">
        <v>420</v>
      </c>
      <c r="D203" s="885">
        <v>80000</v>
      </c>
      <c r="E203" s="885"/>
      <c r="F203" s="230"/>
      <c r="G203" s="230"/>
      <c r="H203" s="230"/>
    </row>
    <row r="204" spans="1:8" ht="31.5" x14ac:dyDescent="0.25">
      <c r="A204" s="231"/>
      <c r="B204" s="231"/>
      <c r="C204" s="232" t="s">
        <v>421</v>
      </c>
      <c r="D204" s="885">
        <v>230000</v>
      </c>
      <c r="E204" s="885" t="s">
        <v>415</v>
      </c>
      <c r="F204" s="230"/>
      <c r="G204" s="230"/>
      <c r="H204" s="230"/>
    </row>
    <row r="205" spans="1:8" ht="15.75" x14ac:dyDescent="0.25">
      <c r="A205" s="231"/>
      <c r="B205" s="231"/>
      <c r="C205" s="230" t="s">
        <v>484</v>
      </c>
      <c r="D205" s="885">
        <v>81000</v>
      </c>
      <c r="E205" s="885" t="s">
        <v>485</v>
      </c>
      <c r="F205" s="230"/>
      <c r="G205" s="230"/>
      <c r="H205" s="230"/>
    </row>
    <row r="206" spans="1:8" ht="15.75" x14ac:dyDescent="0.25">
      <c r="A206" s="231"/>
      <c r="B206" s="231"/>
      <c r="C206" s="232" t="s">
        <v>486</v>
      </c>
      <c r="D206" s="885"/>
      <c r="E206" s="885"/>
      <c r="F206" s="230"/>
      <c r="G206" s="230"/>
      <c r="H206" s="230"/>
    </row>
    <row r="207" spans="1:8" ht="15.75" x14ac:dyDescent="0.25">
      <c r="A207" s="231"/>
      <c r="B207" s="231"/>
      <c r="C207" s="230" t="s">
        <v>316</v>
      </c>
      <c r="D207" s="885"/>
      <c r="E207" s="885"/>
      <c r="F207" s="230"/>
      <c r="G207" s="230"/>
      <c r="H207" s="230"/>
    </row>
    <row r="208" spans="1:8" ht="15.75" x14ac:dyDescent="0.25">
      <c r="A208" s="231"/>
      <c r="B208" s="231"/>
      <c r="C208" s="230" t="s">
        <v>410</v>
      </c>
      <c r="D208" s="885">
        <v>400000</v>
      </c>
      <c r="E208" s="885"/>
      <c r="F208" s="230"/>
      <c r="G208" s="230"/>
      <c r="H208" s="230"/>
    </row>
    <row r="209" spans="1:8" ht="15.75" x14ac:dyDescent="0.25">
      <c r="A209" s="231"/>
      <c r="B209" s="231"/>
      <c r="C209" s="230" t="s">
        <v>412</v>
      </c>
      <c r="D209" s="885">
        <v>200000</v>
      </c>
      <c r="E209" s="885"/>
      <c r="F209" s="230"/>
      <c r="G209" s="230"/>
      <c r="H209" s="230"/>
    </row>
    <row r="210" spans="1:8" ht="15.75" x14ac:dyDescent="0.25">
      <c r="A210" s="231"/>
      <c r="B210" s="231"/>
      <c r="C210" s="230" t="s">
        <v>413</v>
      </c>
      <c r="D210" s="885">
        <v>100000</v>
      </c>
      <c r="E210" s="885"/>
      <c r="F210" s="230"/>
      <c r="G210" s="230"/>
      <c r="H210" s="230"/>
    </row>
  </sheetData>
  <mergeCells count="3">
    <mergeCell ref="D4:E4"/>
    <mergeCell ref="G4:H4"/>
    <mergeCell ref="F9:F11"/>
  </mergeCells>
  <conditionalFormatting sqref="C87:C110">
    <cfRule type="expression" dxfId="0" priority="1">
      <formula>"="</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461"/>
  <sheetViews>
    <sheetView zoomScale="85" zoomScaleNormal="85" workbookViewId="0">
      <selection sqref="A1:I1"/>
    </sheetView>
  </sheetViews>
  <sheetFormatPr defaultRowHeight="15" x14ac:dyDescent="0.25"/>
  <cols>
    <col min="1" max="1" width="21.140625" customWidth="1"/>
    <col min="2" max="2" width="28.140625" customWidth="1"/>
    <col min="3" max="3" width="19.7109375" customWidth="1"/>
    <col min="4" max="4" width="17.28515625" customWidth="1"/>
    <col min="5" max="5" width="15.7109375" customWidth="1"/>
    <col min="6" max="6" width="12.42578125" customWidth="1"/>
    <col min="7" max="9" width="12.85546875" customWidth="1"/>
    <col min="10" max="10" width="13.42578125" customWidth="1"/>
    <col min="11" max="11" width="13.42578125" hidden="1" customWidth="1"/>
    <col min="12" max="12" width="14.5703125" hidden="1" customWidth="1"/>
    <col min="13" max="13" width="14" hidden="1" customWidth="1"/>
    <col min="14" max="14" width="13.85546875" customWidth="1"/>
    <col min="15" max="15" width="10.28515625" bestFit="1" customWidth="1"/>
    <col min="16" max="16" width="13.7109375" customWidth="1"/>
    <col min="18" max="18" width="20.85546875" customWidth="1"/>
    <col min="21" max="16384" width="9.140625" style="6"/>
  </cols>
  <sheetData>
    <row r="1" spans="1:20" ht="18" x14ac:dyDescent="0.25">
      <c r="A1" s="913" t="s">
        <v>23</v>
      </c>
      <c r="B1" s="913"/>
      <c r="C1" s="913"/>
      <c r="D1" s="913"/>
      <c r="E1" s="913"/>
      <c r="F1" s="913"/>
      <c r="G1" s="913"/>
      <c r="H1" s="913"/>
      <c r="I1" s="913"/>
      <c r="J1" s="6"/>
      <c r="K1" s="6"/>
      <c r="L1" s="6"/>
      <c r="M1" s="6"/>
      <c r="N1" s="6"/>
      <c r="O1" s="6"/>
      <c r="P1" s="6"/>
      <c r="Q1" s="6"/>
      <c r="R1" s="6"/>
      <c r="S1" s="6"/>
      <c r="T1" s="6"/>
    </row>
    <row r="2" spans="1:20" ht="15.75" x14ac:dyDescent="0.25">
      <c r="A2" s="914" t="s">
        <v>487</v>
      </c>
      <c r="B2" s="914"/>
      <c r="C2" s="914"/>
      <c r="D2" s="914"/>
      <c r="E2" s="914"/>
      <c r="F2" s="914"/>
      <c r="G2" s="914"/>
      <c r="H2" s="914"/>
      <c r="I2" s="914"/>
      <c r="J2" s="6"/>
      <c r="K2" s="6"/>
      <c r="L2" s="6"/>
      <c r="M2" s="6"/>
      <c r="N2" s="6"/>
      <c r="O2" s="6"/>
      <c r="P2" s="6"/>
      <c r="Q2" s="6"/>
      <c r="R2" s="6"/>
      <c r="S2" s="6"/>
      <c r="T2" s="6"/>
    </row>
    <row r="3" spans="1:20" ht="60" x14ac:dyDescent="0.25">
      <c r="A3" s="243" t="s">
        <v>24</v>
      </c>
      <c r="B3" s="388" t="s">
        <v>623</v>
      </c>
      <c r="C3" s="243" t="s">
        <v>25</v>
      </c>
      <c r="D3" s="244">
        <v>1</v>
      </c>
      <c r="E3" s="243" t="s">
        <v>26</v>
      </c>
      <c r="F3" s="245" t="str">
        <f>IF(H9&gt;300,"A",IF(H9&gt;100,"B","C"))</f>
        <v>C</v>
      </c>
      <c r="G3" s="246" t="s">
        <v>488</v>
      </c>
      <c r="H3" s="915"/>
      <c r="I3" s="915"/>
      <c r="J3" s="6"/>
      <c r="K3" s="6"/>
      <c r="L3" s="6"/>
      <c r="M3" s="6"/>
      <c r="N3" s="6"/>
      <c r="O3" s="6"/>
      <c r="P3" s="6"/>
      <c r="Q3" s="6"/>
      <c r="R3" s="6"/>
      <c r="S3" s="6"/>
      <c r="T3" s="6"/>
    </row>
    <row r="4" spans="1:20" x14ac:dyDescent="0.25">
      <c r="A4" s="916" t="s">
        <v>27</v>
      </c>
      <c r="B4" s="917" t="s">
        <v>605</v>
      </c>
      <c r="C4" s="247" t="s">
        <v>489</v>
      </c>
      <c r="D4" s="8" t="s">
        <v>490</v>
      </c>
      <c r="E4" s="8" t="s">
        <v>29</v>
      </c>
      <c r="F4" s="8" t="s">
        <v>28</v>
      </c>
      <c r="G4" s="8" t="s">
        <v>491</v>
      </c>
      <c r="H4" s="8" t="s">
        <v>492</v>
      </c>
      <c r="I4" s="8" t="s">
        <v>493</v>
      </c>
      <c r="J4" s="6"/>
      <c r="K4" s="6"/>
      <c r="L4" s="6"/>
      <c r="M4" s="6"/>
      <c r="N4" s="6"/>
      <c r="O4" s="6"/>
      <c r="P4" s="6"/>
      <c r="Q4" s="6"/>
      <c r="R4" s="6"/>
      <c r="S4" s="6"/>
      <c r="T4" s="6"/>
    </row>
    <row r="5" spans="1:20" s="9" customFormat="1" ht="15.75" customHeight="1" x14ac:dyDescent="0.25">
      <c r="A5" s="916"/>
      <c r="B5" s="917"/>
      <c r="C5" s="248" t="s">
        <v>494</v>
      </c>
      <c r="D5" s="459">
        <v>0</v>
      </c>
      <c r="E5" s="459">
        <v>0</v>
      </c>
      <c r="F5" s="459"/>
      <c r="G5" s="459">
        <v>0</v>
      </c>
      <c r="H5" s="459">
        <v>0</v>
      </c>
      <c r="I5" s="459">
        <v>0</v>
      </c>
    </row>
    <row r="6" spans="1:20" s="9" customFormat="1" ht="16.5" thickBot="1" x14ac:dyDescent="0.3">
      <c r="A6" s="249"/>
      <c r="B6" s="250"/>
      <c r="C6" s="251"/>
      <c r="D6" s="252"/>
      <c r="E6" s="252"/>
      <c r="F6" s="252"/>
      <c r="G6" s="252"/>
      <c r="H6" s="252"/>
      <c r="I6" s="252"/>
    </row>
    <row r="7" spans="1:20" ht="18" x14ac:dyDescent="0.25">
      <c r="A7" s="918" t="s">
        <v>688</v>
      </c>
      <c r="B7" s="919"/>
      <c r="C7" s="919"/>
      <c r="D7" s="919"/>
      <c r="E7" s="919"/>
      <c r="F7" s="919"/>
      <c r="G7" s="919"/>
      <c r="H7" s="919"/>
      <c r="I7" s="920"/>
      <c r="J7" s="6"/>
      <c r="K7" s="6"/>
      <c r="L7" s="6"/>
      <c r="M7" s="6"/>
      <c r="N7" s="6"/>
      <c r="O7" s="6"/>
      <c r="P7" s="6"/>
      <c r="Q7" s="6"/>
      <c r="R7" s="6"/>
      <c r="S7" s="6"/>
      <c r="T7" s="6"/>
    </row>
    <row r="8" spans="1:20" x14ac:dyDescent="0.25">
      <c r="A8" s="253"/>
      <c r="B8" s="10"/>
      <c r="C8" s="10"/>
      <c r="D8" s="10"/>
      <c r="E8" s="10"/>
      <c r="F8" s="10"/>
      <c r="G8" s="10"/>
      <c r="H8" s="10"/>
      <c r="I8" s="11"/>
      <c r="J8" s="6"/>
      <c r="K8" s="6"/>
      <c r="L8" s="6"/>
      <c r="M8" s="6"/>
      <c r="N8" s="6"/>
      <c r="O8" s="6"/>
      <c r="P8" s="6"/>
      <c r="Q8" s="6"/>
      <c r="R8" s="6"/>
      <c r="S8" s="6"/>
      <c r="T8" s="6"/>
    </row>
    <row r="9" spans="1:20" x14ac:dyDescent="0.25">
      <c r="A9" s="254">
        <v>1</v>
      </c>
      <c r="B9" s="909" t="s">
        <v>495</v>
      </c>
      <c r="C9" s="909"/>
      <c r="D9" s="909"/>
      <c r="E9" s="909"/>
      <c r="F9" s="909"/>
      <c r="G9" s="909"/>
      <c r="H9" s="902"/>
      <c r="I9" s="903"/>
      <c r="J9" s="6"/>
      <c r="K9" s="6"/>
      <c r="L9" s="6"/>
      <c r="M9" s="6"/>
      <c r="N9" s="6"/>
      <c r="O9" s="6"/>
      <c r="P9" s="6"/>
      <c r="Q9" s="6"/>
      <c r="R9" s="6"/>
      <c r="S9" s="6"/>
      <c r="T9" s="6"/>
    </row>
    <row r="10" spans="1:20" x14ac:dyDescent="0.25">
      <c r="A10" s="254"/>
      <c r="B10" s="910" t="s">
        <v>30</v>
      </c>
      <c r="C10" s="911"/>
      <c r="D10" s="911"/>
      <c r="E10" s="911"/>
      <c r="F10" s="911"/>
      <c r="G10" s="912"/>
      <c r="H10" s="902"/>
      <c r="I10" s="903"/>
      <c r="J10" s="6"/>
      <c r="K10" s="6"/>
      <c r="L10" s="6"/>
      <c r="M10" s="6"/>
      <c r="N10" s="6"/>
      <c r="O10" s="6"/>
      <c r="P10" s="6"/>
      <c r="Q10" s="6"/>
      <c r="R10" s="6"/>
      <c r="S10" s="6"/>
      <c r="T10" s="6"/>
    </row>
    <row r="11" spans="1:20" x14ac:dyDescent="0.25">
      <c r="A11" s="254"/>
      <c r="B11" s="910" t="s">
        <v>31</v>
      </c>
      <c r="C11" s="911"/>
      <c r="D11" s="911"/>
      <c r="E11" s="911"/>
      <c r="F11" s="911"/>
      <c r="G11" s="912"/>
      <c r="H11" s="907"/>
      <c r="I11" s="908"/>
      <c r="J11" s="6"/>
      <c r="K11" s="6"/>
      <c r="L11" s="6"/>
      <c r="M11" s="6"/>
      <c r="N11" s="6"/>
      <c r="O11" s="6"/>
      <c r="P11" s="6"/>
      <c r="Q11" s="6"/>
      <c r="R11" s="6"/>
      <c r="S11" s="6"/>
      <c r="T11" s="6"/>
    </row>
    <row r="12" spans="1:20" x14ac:dyDescent="0.25">
      <c r="A12" s="254"/>
      <c r="B12" s="899" t="s">
        <v>32</v>
      </c>
      <c r="C12" s="900"/>
      <c r="D12" s="900"/>
      <c r="E12" s="900"/>
      <c r="F12" s="900"/>
      <c r="G12" s="901"/>
      <c r="H12" s="902"/>
      <c r="I12" s="903"/>
      <c r="J12" s="6"/>
      <c r="K12" s="6"/>
      <c r="L12" s="6"/>
      <c r="M12" s="6"/>
      <c r="N12" s="6"/>
      <c r="O12" s="6"/>
      <c r="P12" s="6"/>
      <c r="Q12" s="6"/>
      <c r="R12" s="6"/>
      <c r="S12" s="6"/>
      <c r="T12" s="6"/>
    </row>
    <row r="13" spans="1:20" x14ac:dyDescent="0.25">
      <c r="A13" s="254"/>
      <c r="B13" s="899" t="s">
        <v>33</v>
      </c>
      <c r="C13" s="900"/>
      <c r="D13" s="900"/>
      <c r="E13" s="900"/>
      <c r="F13" s="900"/>
      <c r="G13" s="901"/>
      <c r="H13" s="902"/>
      <c r="I13" s="903"/>
      <c r="J13" s="6"/>
      <c r="K13" s="6"/>
      <c r="L13" s="6"/>
      <c r="M13" s="6"/>
      <c r="N13" s="6"/>
      <c r="O13" s="6"/>
      <c r="P13" s="6"/>
      <c r="Q13" s="6"/>
      <c r="R13" s="6"/>
      <c r="S13" s="6"/>
      <c r="T13" s="6"/>
    </row>
    <row r="14" spans="1:20" ht="15.75" x14ac:dyDescent="0.25">
      <c r="A14" s="254"/>
      <c r="B14" s="904" t="s">
        <v>34</v>
      </c>
      <c r="C14" s="905"/>
      <c r="D14" s="905"/>
      <c r="E14" s="905"/>
      <c r="F14" s="905"/>
      <c r="G14" s="906"/>
      <c r="H14" s="907"/>
      <c r="I14" s="908"/>
      <c r="J14" s="6"/>
      <c r="K14" s="6"/>
      <c r="L14" s="6"/>
      <c r="M14" s="6"/>
      <c r="N14" s="6"/>
      <c r="O14" s="6"/>
      <c r="P14" s="6"/>
      <c r="Q14" s="6"/>
      <c r="R14" s="6"/>
      <c r="S14" s="6"/>
      <c r="T14" s="6"/>
    </row>
    <row r="15" spans="1:20" x14ac:dyDescent="0.25">
      <c r="A15" s="255">
        <v>2</v>
      </c>
      <c r="B15" s="922" t="s">
        <v>35</v>
      </c>
      <c r="C15" s="922"/>
      <c r="D15" s="922"/>
      <c r="E15" s="922"/>
      <c r="F15" s="922"/>
      <c r="G15" s="922"/>
      <c r="H15" s="926"/>
      <c r="I15" s="927"/>
      <c r="J15" s="6"/>
      <c r="K15" s="6"/>
      <c r="L15" s="6"/>
      <c r="M15" s="6"/>
      <c r="N15" s="6"/>
      <c r="O15" s="6"/>
      <c r="P15" s="6"/>
      <c r="Q15" s="6"/>
      <c r="R15" s="6"/>
      <c r="S15" s="6"/>
      <c r="T15" s="6"/>
    </row>
    <row r="16" spans="1:20" x14ac:dyDescent="0.25">
      <c r="A16" s="255">
        <v>3</v>
      </c>
      <c r="B16" s="922" t="s">
        <v>36</v>
      </c>
      <c r="C16" s="922"/>
      <c r="D16" s="922"/>
      <c r="E16" s="922"/>
      <c r="F16" s="922"/>
      <c r="G16" s="922"/>
      <c r="H16" s="926"/>
      <c r="I16" s="927"/>
      <c r="J16" s="6"/>
      <c r="K16" s="6"/>
      <c r="L16" s="6"/>
      <c r="M16" s="6"/>
      <c r="N16" s="6"/>
      <c r="O16" s="6"/>
      <c r="P16" s="6"/>
      <c r="Q16" s="6"/>
      <c r="R16" s="6"/>
      <c r="S16" s="6"/>
      <c r="T16" s="6"/>
    </row>
    <row r="17" spans="1:20" ht="15.75" thickBot="1" x14ac:dyDescent="0.3">
      <c r="A17" s="256">
        <v>4</v>
      </c>
      <c r="B17" s="928" t="s">
        <v>552</v>
      </c>
      <c r="C17" s="928"/>
      <c r="D17" s="928"/>
      <c r="E17" s="928"/>
      <c r="F17" s="928"/>
      <c r="G17" s="928"/>
      <c r="H17" s="931"/>
      <c r="I17" s="932"/>
      <c r="J17" s="6"/>
      <c r="K17" s="6"/>
      <c r="L17" s="6"/>
      <c r="M17" s="6"/>
      <c r="N17" s="6"/>
      <c r="O17" s="6"/>
      <c r="P17" s="6"/>
      <c r="Q17" s="6"/>
      <c r="R17" s="6"/>
      <c r="S17" s="6"/>
      <c r="T17" s="6"/>
    </row>
    <row r="18" spans="1:20" ht="33" customHeight="1" thickBot="1" x14ac:dyDescent="0.3">
      <c r="A18" s="256">
        <v>5</v>
      </c>
      <c r="B18" s="928" t="s">
        <v>231</v>
      </c>
      <c r="C18" s="928"/>
      <c r="D18" s="928"/>
      <c r="E18" s="928"/>
      <c r="F18" s="928"/>
      <c r="G18" s="928"/>
      <c r="H18" s="929"/>
      <c r="I18" s="930"/>
      <c r="J18" s="6"/>
      <c r="K18" s="6"/>
      <c r="L18" s="6"/>
      <c r="M18" s="6"/>
      <c r="N18" s="6"/>
      <c r="O18" s="6"/>
      <c r="P18" s="6"/>
      <c r="Q18" s="6"/>
      <c r="R18" s="6"/>
      <c r="S18" s="6"/>
      <c r="T18" s="6"/>
    </row>
    <row r="19" spans="1:20" ht="45.75" thickBot="1" x14ac:dyDescent="0.3">
      <c r="A19" s="924"/>
      <c r="B19" s="925"/>
      <c r="C19" s="925"/>
      <c r="D19" s="925"/>
      <c r="E19" s="925"/>
      <c r="F19" s="925"/>
      <c r="G19" s="925"/>
      <c r="H19" s="461" t="s">
        <v>689</v>
      </c>
      <c r="I19" s="462" t="s">
        <v>690</v>
      </c>
      <c r="J19" s="6"/>
      <c r="K19" s="6"/>
      <c r="L19" s="6"/>
      <c r="M19" s="6"/>
      <c r="N19" s="6"/>
      <c r="O19" s="6"/>
      <c r="P19" s="6"/>
      <c r="Q19" s="6"/>
      <c r="R19" s="6"/>
      <c r="S19" s="6"/>
      <c r="T19" s="6"/>
    </row>
    <row r="20" spans="1:20" x14ac:dyDescent="0.25">
      <c r="A20" s="924" t="s">
        <v>496</v>
      </c>
      <c r="B20" s="925"/>
      <c r="C20" s="925"/>
      <c r="D20" s="925"/>
      <c r="E20" s="925"/>
      <c r="F20" s="925"/>
      <c r="G20" s="925"/>
      <c r="H20" s="390"/>
      <c r="I20" s="390"/>
      <c r="J20" s="6"/>
      <c r="K20" s="6"/>
      <c r="L20" s="6"/>
      <c r="M20" s="6"/>
      <c r="N20" s="6"/>
      <c r="O20" s="6"/>
      <c r="P20" s="6"/>
      <c r="Q20" s="6"/>
      <c r="R20" s="6"/>
      <c r="S20" s="6"/>
      <c r="T20" s="6"/>
    </row>
    <row r="21" spans="1:20" x14ac:dyDescent="0.25">
      <c r="A21" s="921" t="s">
        <v>691</v>
      </c>
      <c r="B21" s="922"/>
      <c r="C21" s="922"/>
      <c r="D21" s="922"/>
      <c r="E21" s="922"/>
      <c r="F21" s="922"/>
      <c r="G21" s="922"/>
      <c r="H21" s="390"/>
      <c r="I21" s="390"/>
      <c r="J21" s="6"/>
      <c r="K21" s="6"/>
      <c r="L21" s="6"/>
      <c r="M21" s="6"/>
      <c r="N21" s="6"/>
      <c r="O21" s="6"/>
      <c r="P21" s="6"/>
      <c r="Q21" s="6"/>
      <c r="R21" s="6"/>
      <c r="S21" s="6"/>
      <c r="T21" s="6"/>
    </row>
    <row r="22" spans="1:20" x14ac:dyDescent="0.25">
      <c r="A22" s="921" t="s">
        <v>553</v>
      </c>
      <c r="B22" s="922"/>
      <c r="C22" s="922"/>
      <c r="D22" s="922"/>
      <c r="E22" s="922"/>
      <c r="F22" s="922"/>
      <c r="G22" s="922"/>
      <c r="H22" s="390"/>
      <c r="I22" s="390"/>
      <c r="J22" s="6"/>
      <c r="K22" s="6"/>
      <c r="L22" s="6"/>
      <c r="M22" s="6"/>
      <c r="N22" s="6"/>
      <c r="O22" s="6"/>
      <c r="P22" s="6"/>
      <c r="Q22" s="6"/>
      <c r="R22" s="6"/>
      <c r="S22" s="6"/>
      <c r="T22" s="6"/>
    </row>
    <row r="23" spans="1:20" x14ac:dyDescent="0.25">
      <c r="A23" s="921" t="s">
        <v>497</v>
      </c>
      <c r="B23" s="922"/>
      <c r="C23" s="922"/>
      <c r="D23" s="922"/>
      <c r="E23" s="922"/>
      <c r="F23" s="922"/>
      <c r="G23" s="922"/>
      <c r="H23" s="390"/>
      <c r="I23" s="390"/>
      <c r="J23" s="6"/>
      <c r="K23" s="6"/>
      <c r="L23" s="6"/>
      <c r="M23" s="6"/>
      <c r="N23" s="6"/>
      <c r="O23" s="6"/>
      <c r="P23" s="6"/>
      <c r="Q23" s="6"/>
      <c r="R23" s="6"/>
      <c r="S23" s="6"/>
      <c r="T23" s="6"/>
    </row>
    <row r="24" spans="1:20" x14ac:dyDescent="0.25">
      <c r="A24" s="921" t="s">
        <v>37</v>
      </c>
      <c r="B24" s="922"/>
      <c r="C24" s="922"/>
      <c r="D24" s="922"/>
      <c r="E24" s="922"/>
      <c r="F24" s="922"/>
      <c r="G24" s="922"/>
      <c r="H24" s="390"/>
      <c r="I24" s="390"/>
      <c r="J24" s="923"/>
      <c r="K24" s="923"/>
      <c r="L24" s="6"/>
      <c r="M24" s="6"/>
      <c r="N24" s="6"/>
      <c r="O24" s="6"/>
      <c r="P24" s="6"/>
      <c r="Q24" s="6"/>
      <c r="R24" s="6"/>
      <c r="S24" s="6"/>
      <c r="T24" s="6"/>
    </row>
    <row r="25" spans="1:20" x14ac:dyDescent="0.25">
      <c r="A25" s="921" t="s">
        <v>498</v>
      </c>
      <c r="B25" s="922"/>
      <c r="C25" s="922"/>
      <c r="D25" s="922"/>
      <c r="E25" s="922"/>
      <c r="F25" s="922"/>
      <c r="G25" s="922"/>
      <c r="H25" s="390"/>
      <c r="I25" s="390"/>
      <c r="J25" s="923"/>
      <c r="K25" s="923"/>
    </row>
    <row r="26" spans="1:20" x14ac:dyDescent="0.25">
      <c r="A26" s="921" t="s">
        <v>554</v>
      </c>
      <c r="B26" s="922"/>
      <c r="C26" s="922"/>
      <c r="D26" s="922"/>
      <c r="E26" s="922"/>
      <c r="F26" s="922"/>
      <c r="G26" s="922"/>
      <c r="H26" s="390"/>
      <c r="I26" s="390"/>
      <c r="J26" s="923"/>
      <c r="K26" s="923"/>
    </row>
    <row r="27" spans="1:20" ht="15.75" thickBot="1" x14ac:dyDescent="0.3">
      <c r="A27" s="955" t="s">
        <v>499</v>
      </c>
      <c r="B27" s="956"/>
      <c r="C27" s="956"/>
      <c r="D27" s="956"/>
      <c r="E27" s="956"/>
      <c r="F27" s="956"/>
      <c r="G27" s="956"/>
      <c r="H27" s="390"/>
      <c r="I27" s="390"/>
      <c r="J27" s="923"/>
      <c r="K27" s="923"/>
    </row>
    <row r="29" spans="1:20" ht="31.5" customHeight="1" x14ac:dyDescent="0.25">
      <c r="A29" s="933" t="s">
        <v>38</v>
      </c>
      <c r="B29" s="934"/>
      <c r="C29" s="934"/>
      <c r="D29" s="934"/>
      <c r="E29" s="934"/>
      <c r="F29" s="934"/>
      <c r="G29" s="934"/>
      <c r="H29" s="934"/>
      <c r="I29" s="934"/>
      <c r="J29" s="934"/>
      <c r="K29" s="934"/>
      <c r="L29" s="934"/>
      <c r="M29" s="934"/>
      <c r="N29" s="934"/>
      <c r="O29" s="934"/>
      <c r="P29" s="934"/>
      <c r="Q29" s="934"/>
      <c r="R29" s="12"/>
    </row>
    <row r="30" spans="1:20" ht="15.75" thickBot="1" x14ac:dyDescent="0.3"/>
    <row r="31" spans="1:20" ht="18" x14ac:dyDescent="0.25">
      <c r="A31" s="935" t="s">
        <v>281</v>
      </c>
      <c r="B31" s="936"/>
      <c r="C31" s="936"/>
      <c r="D31" s="936"/>
      <c r="E31" s="936"/>
      <c r="F31" s="936"/>
      <c r="G31" s="936"/>
      <c r="H31" s="937"/>
      <c r="I31" s="938" t="s">
        <v>39</v>
      </c>
      <c r="J31" s="938"/>
      <c r="K31" s="938"/>
      <c r="L31" s="938"/>
      <c r="M31" s="938"/>
      <c r="N31" s="939" t="s">
        <v>40</v>
      </c>
      <c r="O31" s="940"/>
      <c r="P31" s="940"/>
      <c r="Q31" s="941"/>
      <c r="R31" s="6"/>
    </row>
    <row r="32" spans="1:20" ht="15" customHeight="1" x14ac:dyDescent="0.25">
      <c r="A32" s="257"/>
      <c r="B32" s="6"/>
      <c r="C32" s="6"/>
      <c r="D32" s="13"/>
      <c r="E32" s="13"/>
      <c r="F32" s="13"/>
      <c r="G32" s="13"/>
      <c r="H32" s="13"/>
      <c r="I32" s="942" t="s">
        <v>41</v>
      </c>
      <c r="J32" s="943"/>
      <c r="K32" s="944"/>
      <c r="L32" s="942" t="s">
        <v>42</v>
      </c>
      <c r="M32" s="944"/>
      <c r="N32" s="945"/>
      <c r="O32" s="945"/>
      <c r="P32" s="945"/>
      <c r="Q32" s="946"/>
      <c r="R32" s="6"/>
    </row>
    <row r="33" spans="1:20" s="14" customFormat="1" ht="25.5" customHeight="1" x14ac:dyDescent="0.25">
      <c r="A33" s="951" t="s">
        <v>43</v>
      </c>
      <c r="B33" s="952"/>
      <c r="C33" s="953" t="s">
        <v>500</v>
      </c>
      <c r="D33" s="954" t="s">
        <v>44</v>
      </c>
      <c r="E33" s="954" t="s">
        <v>45</v>
      </c>
      <c r="F33" s="968" t="s">
        <v>46</v>
      </c>
      <c r="G33" s="969"/>
      <c r="H33" s="970"/>
      <c r="I33" s="971" t="s">
        <v>47</v>
      </c>
      <c r="J33" s="971" t="s">
        <v>48</v>
      </c>
      <c r="K33" s="971" t="s">
        <v>2</v>
      </c>
      <c r="L33" s="971" t="s">
        <v>49</v>
      </c>
      <c r="M33" s="963" t="s">
        <v>50</v>
      </c>
      <c r="N33" s="947"/>
      <c r="O33" s="947"/>
      <c r="P33" s="947"/>
      <c r="Q33" s="948"/>
      <c r="S33" s="15"/>
      <c r="T33" s="15"/>
    </row>
    <row r="34" spans="1:20" s="14" customFormat="1" ht="38.25" customHeight="1" x14ac:dyDescent="0.25">
      <c r="A34" s="951"/>
      <c r="B34" s="952"/>
      <c r="C34" s="953"/>
      <c r="D34" s="954"/>
      <c r="E34" s="954"/>
      <c r="F34" s="16" t="s">
        <v>47</v>
      </c>
      <c r="G34" s="16" t="s">
        <v>48</v>
      </c>
      <c r="H34" s="191" t="s">
        <v>2</v>
      </c>
      <c r="I34" s="972"/>
      <c r="J34" s="972"/>
      <c r="K34" s="972"/>
      <c r="L34" s="972"/>
      <c r="M34" s="964"/>
      <c r="N34" s="947"/>
      <c r="O34" s="947"/>
      <c r="P34" s="947"/>
      <c r="Q34" s="948"/>
      <c r="S34" s="15"/>
      <c r="T34" s="15"/>
    </row>
    <row r="35" spans="1:20" s="14" customFormat="1" x14ac:dyDescent="0.25">
      <c r="A35" s="957" t="s">
        <v>501</v>
      </c>
      <c r="B35" s="958"/>
      <c r="C35" s="453">
        <v>1</v>
      </c>
      <c r="D35" s="430">
        <v>1</v>
      </c>
      <c r="E35" s="430">
        <v>0</v>
      </c>
      <c r="F35" s="430"/>
      <c r="G35" s="430"/>
      <c r="H35" s="387">
        <f>SUM(F35:G35)</f>
        <v>0</v>
      </c>
      <c r="I35" s="19">
        <f>E35*500000</f>
        <v>0</v>
      </c>
      <c r="J35" s="460">
        <f>D35*100000</f>
        <v>100000</v>
      </c>
      <c r="K35" s="965">
        <f>SUM(I35:I37,J35)</f>
        <v>1100000</v>
      </c>
      <c r="L35" s="258"/>
      <c r="M35" s="22">
        <f>L35*H35</f>
        <v>0</v>
      </c>
      <c r="N35" s="947"/>
      <c r="O35" s="947"/>
      <c r="P35" s="947"/>
      <c r="Q35" s="948"/>
      <c r="S35" s="15"/>
      <c r="T35" s="15"/>
    </row>
    <row r="36" spans="1:20" s="14" customFormat="1" x14ac:dyDescent="0.25">
      <c r="A36" s="957" t="s">
        <v>502</v>
      </c>
      <c r="B36" s="958"/>
      <c r="C36" s="453">
        <v>1</v>
      </c>
      <c r="D36" s="430">
        <v>2</v>
      </c>
      <c r="E36" s="430">
        <v>2</v>
      </c>
      <c r="F36" s="430"/>
      <c r="G36" s="430"/>
      <c r="H36" s="387">
        <f>SUM(F36:G36)</f>
        <v>0</v>
      </c>
      <c r="I36" s="19">
        <f>E36*500000</f>
        <v>1000000</v>
      </c>
      <c r="J36" s="460">
        <f>D36*100000</f>
        <v>200000</v>
      </c>
      <c r="K36" s="966"/>
      <c r="L36" s="258"/>
      <c r="M36" s="22">
        <f>L36*H36</f>
        <v>0</v>
      </c>
      <c r="N36" s="947"/>
      <c r="O36" s="947"/>
      <c r="P36" s="947"/>
      <c r="Q36" s="948"/>
      <c r="S36" s="15"/>
      <c r="T36" s="15"/>
    </row>
    <row r="37" spans="1:20" s="14" customFormat="1" x14ac:dyDescent="0.25">
      <c r="A37" s="957" t="s">
        <v>418</v>
      </c>
      <c r="B37" s="958"/>
      <c r="C37" s="453">
        <v>1</v>
      </c>
      <c r="D37" s="430">
        <v>1</v>
      </c>
      <c r="E37" s="430">
        <v>0</v>
      </c>
      <c r="F37" s="430"/>
      <c r="G37" s="430"/>
      <c r="H37" s="387">
        <f>SUM(F37:G37)</f>
        <v>0</v>
      </c>
      <c r="I37" s="19">
        <f>E37*2000000+E37*1000000</f>
        <v>0</v>
      </c>
      <c r="J37" s="460">
        <f>D37*100000</f>
        <v>100000</v>
      </c>
      <c r="K37" s="967"/>
      <c r="L37" s="258"/>
      <c r="M37" s="22">
        <f>L37*H37</f>
        <v>0</v>
      </c>
      <c r="N37" s="947"/>
      <c r="O37" s="947"/>
      <c r="P37" s="947"/>
      <c r="Q37" s="948"/>
      <c r="S37" s="15"/>
      <c r="T37" s="15"/>
    </row>
    <row r="38" spans="1:20" s="14" customFormat="1" x14ac:dyDescent="0.25">
      <c r="A38" s="957" t="s">
        <v>417</v>
      </c>
      <c r="B38" s="958"/>
      <c r="C38" s="453">
        <v>1</v>
      </c>
      <c r="D38" s="430">
        <v>1</v>
      </c>
      <c r="E38" s="430">
        <v>0</v>
      </c>
      <c r="F38" s="430"/>
      <c r="G38" s="430"/>
      <c r="H38" s="387">
        <f>SUM(F38:G38)</f>
        <v>0</v>
      </c>
      <c r="I38" s="19">
        <f>E38*100000</f>
        <v>0</v>
      </c>
      <c r="J38" s="20">
        <f>D38*50000</f>
        <v>50000</v>
      </c>
      <c r="K38" s="21">
        <f>SUM(I38:J38)</f>
        <v>50000</v>
      </c>
      <c r="L38" s="258"/>
      <c r="M38" s="22"/>
      <c r="N38" s="947"/>
      <c r="O38" s="947"/>
      <c r="P38" s="947"/>
      <c r="Q38" s="948"/>
      <c r="S38" s="15"/>
      <c r="T38" s="15"/>
    </row>
    <row r="39" spans="1:20" s="14" customFormat="1" ht="15.75" customHeight="1" x14ac:dyDescent="0.25">
      <c r="A39" s="957" t="s">
        <v>51</v>
      </c>
      <c r="B39" s="958"/>
      <c r="C39" s="453">
        <v>1</v>
      </c>
      <c r="D39" s="430">
        <v>1</v>
      </c>
      <c r="E39" s="430">
        <v>0</v>
      </c>
      <c r="F39" s="430"/>
      <c r="G39" s="430"/>
      <c r="H39" s="387">
        <f>F39+G39</f>
        <v>0</v>
      </c>
      <c r="I39" s="19">
        <f>E39*2500000</f>
        <v>0</v>
      </c>
      <c r="J39" s="20">
        <f>(D39+E39)*50000</f>
        <v>50000</v>
      </c>
      <c r="K39" s="21">
        <f>(I39+J39)*$D$3</f>
        <v>50000</v>
      </c>
      <c r="L39" s="258" t="e">
        <f>M39/H39</f>
        <v>#DIV/0!</v>
      </c>
      <c r="M39" s="22"/>
      <c r="N39" s="947"/>
      <c r="O39" s="947"/>
      <c r="P39" s="947"/>
      <c r="Q39" s="948"/>
      <c r="S39" s="15"/>
      <c r="T39" s="15"/>
    </row>
    <row r="40" spans="1:20" x14ac:dyDescent="0.25">
      <c r="A40" s="957" t="s">
        <v>52</v>
      </c>
      <c r="B40" s="958"/>
      <c r="C40" s="391">
        <v>1</v>
      </c>
      <c r="D40" s="430">
        <v>1</v>
      </c>
      <c r="E40" s="430">
        <v>0</v>
      </c>
      <c r="F40" s="430"/>
      <c r="G40" s="430"/>
      <c r="H40" s="387">
        <f>F40+G40</f>
        <v>0</v>
      </c>
      <c r="I40" s="19">
        <f>E40*1500000</f>
        <v>0</v>
      </c>
      <c r="J40" s="20">
        <f>(D40+E40)*150000</f>
        <v>150000</v>
      </c>
      <c r="K40" s="8">
        <f>(I40+J40)*$D$3</f>
        <v>150000</v>
      </c>
      <c r="L40" s="258" t="e">
        <f>M40/H40</f>
        <v>#DIV/0!</v>
      </c>
      <c r="M40" s="259"/>
      <c r="N40" s="947"/>
      <c r="O40" s="947"/>
      <c r="P40" s="947"/>
      <c r="Q40" s="948"/>
      <c r="R40" s="6"/>
    </row>
    <row r="41" spans="1:20" x14ac:dyDescent="0.25">
      <c r="A41" s="959" t="s">
        <v>503</v>
      </c>
      <c r="B41" s="960"/>
      <c r="C41" s="24"/>
      <c r="D41" s="25"/>
      <c r="E41" s="25"/>
      <c r="F41" s="25"/>
      <c r="G41" s="25"/>
      <c r="H41" s="27"/>
      <c r="I41" s="260"/>
      <c r="J41" s="260"/>
      <c r="K41" s="28"/>
      <c r="L41" s="261"/>
      <c r="M41" s="262"/>
      <c r="N41" s="947"/>
      <c r="O41" s="947"/>
      <c r="P41" s="947"/>
      <c r="Q41" s="948"/>
      <c r="R41" s="6"/>
    </row>
    <row r="42" spans="1:20" x14ac:dyDescent="0.25">
      <c r="A42" s="167" t="s">
        <v>226</v>
      </c>
      <c r="B42" s="164" t="s">
        <v>59</v>
      </c>
      <c r="C42" s="391"/>
      <c r="D42" s="164"/>
      <c r="E42" s="164"/>
      <c r="F42" s="164"/>
      <c r="G42" s="165"/>
      <c r="H42" s="18">
        <f>F42+G42</f>
        <v>0</v>
      </c>
      <c r="I42" s="8">
        <f>E42*(COUNTIF(B42,"Solid+Liquid+LPA")*6400000)+$D$3*E42*(COUNTIF(B42,"Solid")*1000000)+$D$3*E42*(COUNTIF(B42,"Liquid")*5000000)+$D$3*E42*(COUNTIF(B42,"LPA")*400000)+$D$3*E42*(COUNTIF(B42,"Solid+Liquid")*6000000)+$D$3*E42*(COUNTIF(B42,"Liquid+LPA")*5400000)+$D$3*E42*(COUNTIF(B42,"Solid+LPA")*1400000)</f>
        <v>0</v>
      </c>
      <c r="J42" s="8">
        <f>$D$3*D42*75000+$D$3*D42*(COUNTIF(B42,"Solid+Liquid+LPA")*75000)+$D$3*D42*(COUNTIF(B42,"Solid")*25000)+$D$3*D42*(COUNTIF(B42,"Liquid")*25000)+$D$3*D42*(COUNTIF(B42,"LPA")*25000)+$D$3*D42*(COUNTIF(B42,"Solid+Liquid")*50000)+$D$3*D42*(COUNTIF(B42,"Liquid+LPA")*50000)+$D$3*D42*(COUNTIF(B42,"Solid+LPA")*50000)</f>
        <v>0</v>
      </c>
      <c r="K42" s="8">
        <f>SUM(I42:J42)</f>
        <v>0</v>
      </c>
      <c r="L42" s="166"/>
      <c r="M42" s="216">
        <f>H42*L42</f>
        <v>0</v>
      </c>
      <c r="N42" s="947"/>
      <c r="O42" s="947"/>
      <c r="P42" s="947"/>
      <c r="Q42" s="948"/>
      <c r="R42" s="6"/>
    </row>
    <row r="43" spans="1:20" x14ac:dyDescent="0.25">
      <c r="A43" s="167" t="s">
        <v>227</v>
      </c>
      <c r="B43" s="164" t="s">
        <v>230</v>
      </c>
      <c r="C43" s="391"/>
      <c r="D43" s="164"/>
      <c r="E43" s="164"/>
      <c r="F43" s="164"/>
      <c r="G43" s="165"/>
      <c r="H43" s="18">
        <f>F43+G43</f>
        <v>0</v>
      </c>
      <c r="I43" s="8">
        <f>E43*(COUNTIF(B43,"Solid+Liquid+LPA")*6400000)+$D$3*E43*(COUNTIF(B43,"Solid")*1000000)+$D$3*E43*(COUNTIF(B43,"Liquid")*5000000)+$D$3*E43*(COUNTIF(B43,"LPA")*400000)+$D$3*E43*(COUNTIF(B43,"Solid+Liquid")*6000000)+$D$3*E43*(COUNTIF(B43,"Liquid+LPA")*5400000)+$D$3*E43*(COUNTIF(B43,"Solid+LPA")*1400000)</f>
        <v>0</v>
      </c>
      <c r="J43" s="8">
        <f>$D$3*D43*75000+$D$3*D43*(COUNTIF(B43,"Solid+Liquid+LPA")*75000)+$D$3*D43*(COUNTIF(B43,"Solid")*25000)+$D$3*D43*(COUNTIF(B43,"Liquid")*25000)+$D$3*D43*(COUNTIF(B43,"LPA")*25000)+$D$3*D43*(COUNTIF(B43,"Solid+Liquid")*50000)+$D$3*D43*(COUNTIF(B43,"Liquid+LPA")*50000)+$D$3*D43*(COUNTIF(B43,"Solid+LPA")*50000)</f>
        <v>0</v>
      </c>
      <c r="K43" s="8">
        <f>SUM(I43:J43)</f>
        <v>0</v>
      </c>
      <c r="L43" s="166"/>
      <c r="M43" s="216">
        <f>H43*L43</f>
        <v>0</v>
      </c>
      <c r="N43" s="947"/>
      <c r="O43" s="947"/>
      <c r="P43" s="947"/>
      <c r="Q43" s="948"/>
      <c r="R43" s="6"/>
    </row>
    <row r="44" spans="1:20" ht="15.75" thickBot="1" x14ac:dyDescent="0.3">
      <c r="A44" s="167" t="s">
        <v>228</v>
      </c>
      <c r="B44" s="164" t="s">
        <v>230</v>
      </c>
      <c r="C44" s="391"/>
      <c r="D44" s="164"/>
      <c r="E44" s="164"/>
      <c r="F44" s="164"/>
      <c r="G44" s="165"/>
      <c r="H44" s="18">
        <f>F44+G44</f>
        <v>0</v>
      </c>
      <c r="I44" s="8">
        <f>E44*(COUNTIF(B44,"Solid+Liquid+LPA")*6400000)+$D$3*E44*(COUNTIF(B44,"Solid")*1000000)+$D$3*E44*(COUNTIF(B44,"Liquid")*5000000)+$D$3*E44*(COUNTIF(B44,"LPA")*400000)+$D$3*E44*(COUNTIF(B44,"Solid+Liquid")*6000000)+$D$3*E44*(COUNTIF(B44,"Liquid+LPA")*5400000)+$D$3*E44*(COUNTIF(B44,"Solid+LPA")*1400000)</f>
        <v>0</v>
      </c>
      <c r="J44" s="8">
        <f>D44*75000+D44*(COUNTIF(B44,"Solid+Liquid+LPA")*75000)+D44*(COUNTIF(B44,"Solid")*25000)+D44*(COUNTIF(B44,"Liquid")*25000)+D44*(COUNTIF(B44,"LPA")*25000)+D44*(COUNTIF(B44,"Solid+Liquid")*50000)+D44*(COUNTIF(B44,"Liquid+LPA")*50000)+D44*(COUNTIF(B44,"Solid+LPA")*50000)</f>
        <v>0</v>
      </c>
      <c r="K44" s="8">
        <f>SUM(I44:J44)</f>
        <v>0</v>
      </c>
      <c r="L44" s="166"/>
      <c r="M44" s="216">
        <f>H44*L44</f>
        <v>0</v>
      </c>
      <c r="N44" s="947"/>
      <c r="O44" s="947"/>
      <c r="P44" s="947"/>
      <c r="Q44" s="948"/>
      <c r="R44" s="6"/>
    </row>
    <row r="45" spans="1:20" ht="15.75" thickBot="1" x14ac:dyDescent="0.3">
      <c r="A45" s="961" t="s">
        <v>504</v>
      </c>
      <c r="B45" s="962"/>
      <c r="C45" s="263"/>
      <c r="D45" s="264">
        <f>SUM(D42:D44)</f>
        <v>0</v>
      </c>
      <c r="E45" s="264">
        <f t="shared" ref="E45:K45" si="0">SUM(E42:E44)</f>
        <v>0</v>
      </c>
      <c r="F45" s="264">
        <f t="shared" si="0"/>
        <v>0</v>
      </c>
      <c r="G45" s="264">
        <f t="shared" si="0"/>
        <v>0</v>
      </c>
      <c r="H45" s="264">
        <f t="shared" si="0"/>
        <v>0</v>
      </c>
      <c r="I45" s="264">
        <f t="shared" si="0"/>
        <v>0</v>
      </c>
      <c r="J45" s="264">
        <f t="shared" si="0"/>
        <v>0</v>
      </c>
      <c r="K45" s="264">
        <f t="shared" si="0"/>
        <v>0</v>
      </c>
      <c r="L45" s="265" t="e">
        <f>M45/H45</f>
        <v>#DIV/0!</v>
      </c>
      <c r="M45" s="266">
        <f>SUM(M42:M44)</f>
        <v>0</v>
      </c>
      <c r="N45" s="947"/>
      <c r="O45" s="947"/>
      <c r="P45" s="947"/>
      <c r="Q45" s="948"/>
      <c r="R45" s="6"/>
    </row>
    <row r="46" spans="1:20" x14ac:dyDescent="0.25">
      <c r="A46" s="959" t="s">
        <v>505</v>
      </c>
      <c r="B46" s="960"/>
      <c r="C46" s="24"/>
      <c r="D46" s="25"/>
      <c r="E46" s="25"/>
      <c r="F46" s="25"/>
      <c r="G46" s="26"/>
      <c r="H46" s="27"/>
      <c r="I46" s="28"/>
      <c r="J46" s="28"/>
      <c r="K46" s="28"/>
      <c r="L46" s="29"/>
      <c r="M46" s="30"/>
      <c r="N46" s="947"/>
      <c r="O46" s="947"/>
      <c r="P46" s="947"/>
      <c r="Q46" s="948"/>
      <c r="R46" s="6"/>
    </row>
    <row r="47" spans="1:20" x14ac:dyDescent="0.25">
      <c r="A47" s="989" t="s">
        <v>53</v>
      </c>
      <c r="B47" s="990"/>
      <c r="C47" s="391"/>
      <c r="D47" s="392"/>
      <c r="E47" s="392"/>
      <c r="F47" s="392"/>
      <c r="G47" s="392"/>
      <c r="H47" s="393"/>
      <c r="I47" s="389"/>
      <c r="J47" s="389"/>
      <c r="K47" s="8">
        <f>SUM(I47:J47)</f>
        <v>0</v>
      </c>
      <c r="L47" s="268" t="e">
        <f>M47/H47</f>
        <v>#REF!</v>
      </c>
      <c r="M47" s="267" t="e">
        <f>SUM(#REF!)</f>
        <v>#REF!</v>
      </c>
      <c r="N47" s="947"/>
      <c r="O47" s="947"/>
      <c r="P47" s="947"/>
      <c r="Q47" s="948"/>
      <c r="R47" s="6"/>
    </row>
    <row r="48" spans="1:20" x14ac:dyDescent="0.25">
      <c r="A48" s="989" t="s">
        <v>54</v>
      </c>
      <c r="B48" s="990"/>
      <c r="C48" s="391"/>
      <c r="D48" s="392"/>
      <c r="E48" s="392"/>
      <c r="F48" s="392"/>
      <c r="G48" s="392"/>
      <c r="H48" s="393"/>
      <c r="I48" s="389"/>
      <c r="J48" s="389"/>
      <c r="K48" s="8">
        <f t="shared" ref="K48:K53" si="1">SUM(I48:J48)</f>
        <v>0</v>
      </c>
      <c r="L48" s="268" t="e">
        <f t="shared" ref="L48:L59" si="2">M48/H48</f>
        <v>#REF!</v>
      </c>
      <c r="M48" s="267" t="e">
        <f>SUM(#REF!)</f>
        <v>#REF!</v>
      </c>
      <c r="N48" s="947"/>
      <c r="O48" s="947"/>
      <c r="P48" s="947"/>
      <c r="Q48" s="948"/>
      <c r="R48" s="6"/>
    </row>
    <row r="49" spans="1:20" x14ac:dyDescent="0.25">
      <c r="A49" s="989" t="s">
        <v>55</v>
      </c>
      <c r="B49" s="990"/>
      <c r="C49" s="391"/>
      <c r="D49" s="392"/>
      <c r="E49" s="392"/>
      <c r="F49" s="392"/>
      <c r="G49" s="392"/>
      <c r="H49" s="393"/>
      <c r="I49" s="389"/>
      <c r="J49" s="389"/>
      <c r="K49" s="8">
        <f t="shared" si="1"/>
        <v>0</v>
      </c>
      <c r="L49" s="268" t="e">
        <f t="shared" si="2"/>
        <v>#REF!</v>
      </c>
      <c r="M49" s="267" t="e">
        <f>SUM(#REF!)</f>
        <v>#REF!</v>
      </c>
      <c r="N49" s="947"/>
      <c r="O49" s="947"/>
      <c r="P49" s="947"/>
      <c r="Q49" s="948"/>
      <c r="R49" s="6"/>
    </row>
    <row r="50" spans="1:20" x14ac:dyDescent="0.25">
      <c r="A50" s="989" t="s">
        <v>56</v>
      </c>
      <c r="B50" s="990"/>
      <c r="C50" s="391"/>
      <c r="D50" s="392"/>
      <c r="E50" s="392"/>
      <c r="F50" s="392"/>
      <c r="G50" s="392"/>
      <c r="H50" s="393"/>
      <c r="I50" s="389"/>
      <c r="J50" s="389"/>
      <c r="K50" s="8">
        <f t="shared" si="1"/>
        <v>0</v>
      </c>
      <c r="L50" s="268" t="e">
        <f t="shared" si="2"/>
        <v>#REF!</v>
      </c>
      <c r="M50" s="267" t="e">
        <f>SUM(#REF!)</f>
        <v>#REF!</v>
      </c>
      <c r="N50" s="947"/>
      <c r="O50" s="947"/>
      <c r="P50" s="947"/>
      <c r="Q50" s="948"/>
      <c r="R50" s="6"/>
    </row>
    <row r="51" spans="1:20" x14ac:dyDescent="0.25">
      <c r="A51" s="989" t="s">
        <v>57</v>
      </c>
      <c r="B51" s="990"/>
      <c r="C51" s="391"/>
      <c r="D51" s="392"/>
      <c r="E51" s="392"/>
      <c r="F51" s="392"/>
      <c r="G51" s="392"/>
      <c r="H51" s="393"/>
      <c r="I51" s="389"/>
      <c r="J51" s="389"/>
      <c r="K51" s="8">
        <f t="shared" si="1"/>
        <v>0</v>
      </c>
      <c r="L51" s="268" t="e">
        <f t="shared" si="2"/>
        <v>#REF!</v>
      </c>
      <c r="M51" s="267" t="e">
        <f>SUM(#REF!)</f>
        <v>#REF!</v>
      </c>
      <c r="N51" s="947"/>
      <c r="O51" s="947"/>
      <c r="P51" s="947"/>
      <c r="Q51" s="948"/>
      <c r="R51" s="6"/>
    </row>
    <row r="52" spans="1:20" x14ac:dyDescent="0.25">
      <c r="A52" s="989" t="s">
        <v>58</v>
      </c>
      <c r="B52" s="990"/>
      <c r="C52" s="391"/>
      <c r="D52" s="392"/>
      <c r="E52" s="392"/>
      <c r="F52" s="392"/>
      <c r="G52" s="392"/>
      <c r="H52" s="393"/>
      <c r="I52" s="389"/>
      <c r="J52" s="389"/>
      <c r="K52" s="8">
        <f t="shared" si="1"/>
        <v>0</v>
      </c>
      <c r="L52" s="268" t="e">
        <f t="shared" si="2"/>
        <v>#REF!</v>
      </c>
      <c r="M52" s="267" t="e">
        <f>SUM(#REF!)</f>
        <v>#REF!</v>
      </c>
      <c r="N52" s="947"/>
      <c r="O52" s="947"/>
      <c r="P52" s="947"/>
      <c r="Q52" s="948"/>
      <c r="R52" s="6"/>
    </row>
    <row r="53" spans="1:20" ht="15.75" thickBot="1" x14ac:dyDescent="0.3">
      <c r="A53" s="983" t="s">
        <v>59</v>
      </c>
      <c r="B53" s="984"/>
      <c r="C53" s="394"/>
      <c r="D53" s="395"/>
      <c r="E53" s="395"/>
      <c r="F53" s="395"/>
      <c r="G53" s="395"/>
      <c r="H53" s="396"/>
      <c r="I53" s="397"/>
      <c r="J53" s="397"/>
      <c r="K53" s="31">
        <f t="shared" si="1"/>
        <v>0</v>
      </c>
      <c r="L53" s="271" t="e">
        <f t="shared" si="2"/>
        <v>#REF!</v>
      </c>
      <c r="M53" s="270" t="e">
        <f>SUM(#REF!)</f>
        <v>#REF!</v>
      </c>
      <c r="N53" s="947"/>
      <c r="O53" s="947"/>
      <c r="P53" s="947"/>
      <c r="Q53" s="948"/>
      <c r="R53" s="6"/>
    </row>
    <row r="54" spans="1:20" ht="15.75" thickBot="1" x14ac:dyDescent="0.3">
      <c r="A54" s="961" t="s">
        <v>506</v>
      </c>
      <c r="B54" s="962"/>
      <c r="C54" s="263"/>
      <c r="D54" s="264">
        <f>SUM(D47:D53)</f>
        <v>0</v>
      </c>
      <c r="E54" s="264">
        <f t="shared" ref="E54:K54" si="3">SUM(E47:E53)</f>
        <v>0</v>
      </c>
      <c r="F54" s="264">
        <f t="shared" si="3"/>
        <v>0</v>
      </c>
      <c r="G54" s="264">
        <f t="shared" si="3"/>
        <v>0</v>
      </c>
      <c r="H54" s="264">
        <f t="shared" si="3"/>
        <v>0</v>
      </c>
      <c r="I54" s="264">
        <f t="shared" si="3"/>
        <v>0</v>
      </c>
      <c r="J54" s="264">
        <f t="shared" si="3"/>
        <v>0</v>
      </c>
      <c r="K54" s="264">
        <f t="shared" si="3"/>
        <v>0</v>
      </c>
      <c r="L54" s="265" t="e">
        <f>M54/H54</f>
        <v>#REF!</v>
      </c>
      <c r="M54" s="272" t="e">
        <f>SUM(M47:M53)</f>
        <v>#REF!</v>
      </c>
      <c r="N54" s="947"/>
      <c r="O54" s="947"/>
      <c r="P54" s="947"/>
      <c r="Q54" s="948"/>
      <c r="R54" s="6"/>
    </row>
    <row r="55" spans="1:20" s="32" customFormat="1" ht="15.75" customHeight="1" x14ac:dyDescent="0.2">
      <c r="A55" s="985" t="s">
        <v>60</v>
      </c>
      <c r="B55" s="986"/>
      <c r="C55" s="398"/>
      <c r="D55" s="392"/>
      <c r="E55" s="392"/>
      <c r="F55" s="392"/>
      <c r="G55" s="392"/>
      <c r="H55" s="399"/>
      <c r="I55" s="400"/>
      <c r="J55" s="400"/>
      <c r="K55" s="273">
        <f>SUM(I55:J55)</f>
        <v>0</v>
      </c>
      <c r="L55" s="268" t="e">
        <f t="shared" si="2"/>
        <v>#REF!</v>
      </c>
      <c r="M55" s="267" t="e">
        <f>SUM(#REF!)</f>
        <v>#REF!</v>
      </c>
      <c r="N55" s="947"/>
      <c r="O55" s="947"/>
      <c r="P55" s="947"/>
      <c r="Q55" s="948"/>
      <c r="S55" s="33"/>
      <c r="T55" s="33"/>
    </row>
    <row r="56" spans="1:20" s="32" customFormat="1" x14ac:dyDescent="0.2">
      <c r="A56" s="957" t="s">
        <v>61</v>
      </c>
      <c r="B56" s="958"/>
      <c r="C56" s="391"/>
      <c r="D56" s="392"/>
      <c r="E56" s="392"/>
      <c r="F56" s="392"/>
      <c r="G56" s="392"/>
      <c r="H56" s="393"/>
      <c r="I56" s="401"/>
      <c r="J56" s="401"/>
      <c r="K56" s="8">
        <f>SUM(I56:J56)</f>
        <v>0</v>
      </c>
      <c r="L56" s="268" t="e">
        <f t="shared" si="2"/>
        <v>#REF!</v>
      </c>
      <c r="M56" s="274" t="e">
        <f>SUM(#REF!)</f>
        <v>#REF!</v>
      </c>
      <c r="N56" s="947"/>
      <c r="O56" s="947"/>
      <c r="P56" s="947"/>
      <c r="Q56" s="948"/>
      <c r="R56" s="34"/>
      <c r="S56" s="33"/>
      <c r="T56" s="33"/>
    </row>
    <row r="57" spans="1:20" s="32" customFormat="1" x14ac:dyDescent="0.2">
      <c r="A57" s="957" t="s">
        <v>62</v>
      </c>
      <c r="B57" s="958"/>
      <c r="C57" s="391"/>
      <c r="D57" s="392"/>
      <c r="E57" s="392"/>
      <c r="F57" s="392"/>
      <c r="G57" s="392"/>
      <c r="H57" s="393"/>
      <c r="I57" s="401"/>
      <c r="J57" s="401"/>
      <c r="K57" s="8">
        <f>SUM(I57:J57)</f>
        <v>0</v>
      </c>
      <c r="L57" s="268" t="e">
        <f t="shared" si="2"/>
        <v>#REF!</v>
      </c>
      <c r="M57" s="267" t="e">
        <f>SUM(#REF!)</f>
        <v>#REF!</v>
      </c>
      <c r="N57" s="947"/>
      <c r="O57" s="947"/>
      <c r="P57" s="947"/>
      <c r="Q57" s="948"/>
      <c r="R57" s="34"/>
      <c r="S57" s="33"/>
      <c r="T57" s="33"/>
    </row>
    <row r="58" spans="1:20" s="32" customFormat="1" x14ac:dyDescent="0.2">
      <c r="A58" s="987" t="s">
        <v>63</v>
      </c>
      <c r="B58" s="988"/>
      <c r="C58" s="402"/>
      <c r="D58" s="392"/>
      <c r="E58" s="392"/>
      <c r="F58" s="392"/>
      <c r="G58" s="392"/>
      <c r="H58" s="393"/>
      <c r="I58" s="401"/>
      <c r="J58" s="401"/>
      <c r="K58" s="8">
        <f>SUM(I58:J58)</f>
        <v>0</v>
      </c>
      <c r="L58" s="268" t="e">
        <f t="shared" si="2"/>
        <v>#REF!</v>
      </c>
      <c r="M58" s="267" t="e">
        <f>SUM(#REF!)</f>
        <v>#REF!</v>
      </c>
      <c r="N58" s="947"/>
      <c r="O58" s="947"/>
      <c r="P58" s="947"/>
      <c r="Q58" s="948"/>
      <c r="R58" s="34"/>
      <c r="S58" s="33"/>
      <c r="T58" s="33"/>
    </row>
    <row r="59" spans="1:20" s="32" customFormat="1" ht="15.75" thickBot="1" x14ac:dyDescent="0.25">
      <c r="A59" s="998" t="s">
        <v>64</v>
      </c>
      <c r="B59" s="999"/>
      <c r="C59" s="403"/>
      <c r="D59" s="392"/>
      <c r="E59" s="392"/>
      <c r="F59" s="392"/>
      <c r="G59" s="392"/>
      <c r="H59" s="396"/>
      <c r="I59" s="404"/>
      <c r="J59" s="404"/>
      <c r="K59" s="31">
        <f>SUM(I59:J59)</f>
        <v>0</v>
      </c>
      <c r="L59" s="268" t="e">
        <f t="shared" si="2"/>
        <v>#REF!</v>
      </c>
      <c r="M59" s="267" t="e">
        <f>SUM(#REF!)</f>
        <v>#REF!</v>
      </c>
      <c r="N59" s="947"/>
      <c r="O59" s="947"/>
      <c r="P59" s="947"/>
      <c r="Q59" s="948"/>
      <c r="R59" s="34"/>
      <c r="S59" s="33"/>
      <c r="T59" s="33"/>
    </row>
    <row r="60" spans="1:20" s="32" customFormat="1" ht="19.5" thickBot="1" x14ac:dyDescent="0.25">
      <c r="A60" s="973" t="s">
        <v>2</v>
      </c>
      <c r="B60" s="974"/>
      <c r="C60" s="35"/>
      <c r="D60" s="36"/>
      <c r="E60" s="36"/>
      <c r="F60" s="405">
        <f>SUM(F35:F40,F45,F54,F55:F59)</f>
        <v>0</v>
      </c>
      <c r="G60" s="37">
        <f t="shared" ref="G60:M60" si="4">SUM(G35:G40,G45,G54,G55:G59)</f>
        <v>0</v>
      </c>
      <c r="H60" s="38">
        <f t="shared" si="4"/>
        <v>0</v>
      </c>
      <c r="I60" s="37">
        <f t="shared" si="4"/>
        <v>1000000</v>
      </c>
      <c r="J60" s="37">
        <f t="shared" si="4"/>
        <v>650000</v>
      </c>
      <c r="K60" s="37">
        <f t="shared" si="4"/>
        <v>1350000</v>
      </c>
      <c r="L60" s="39" t="e">
        <f>M60/H60</f>
        <v>#REF!</v>
      </c>
      <c r="M60" s="40" t="e">
        <f t="shared" si="4"/>
        <v>#REF!</v>
      </c>
      <c r="N60" s="949"/>
      <c r="O60" s="949"/>
      <c r="P60" s="949"/>
      <c r="Q60" s="950"/>
      <c r="R60" s="34"/>
      <c r="S60" s="33"/>
      <c r="T60" s="33"/>
    </row>
    <row r="61" spans="1:20" s="32" customFormat="1" ht="13.5" thickBot="1" x14ac:dyDescent="0.25">
      <c r="A61" s="41"/>
      <c r="B61" s="41"/>
      <c r="C61" s="41"/>
      <c r="D61" s="41"/>
      <c r="E61" s="41"/>
      <c r="F61" s="41"/>
      <c r="G61" s="41"/>
      <c r="H61" s="42"/>
      <c r="I61" s="42"/>
      <c r="J61" s="43"/>
      <c r="K61" s="43"/>
      <c r="L61" s="44"/>
      <c r="M61" s="45"/>
      <c r="N61" s="46"/>
      <c r="O61" s="47"/>
      <c r="P61" s="47"/>
      <c r="Q61" s="47"/>
      <c r="R61" s="47"/>
      <c r="S61" s="33"/>
      <c r="T61" s="33"/>
    </row>
    <row r="62" spans="1:20" ht="18" x14ac:dyDescent="0.25">
      <c r="A62" s="1000" t="s">
        <v>4</v>
      </c>
      <c r="B62" s="1001"/>
      <c r="C62" s="1001"/>
      <c r="D62" s="1001"/>
      <c r="E62" s="1001"/>
      <c r="F62" s="1001"/>
      <c r="G62" s="1001"/>
      <c r="H62" s="1001"/>
      <c r="I62" s="1002"/>
      <c r="J62" s="938" t="s">
        <v>39</v>
      </c>
      <c r="K62" s="938"/>
      <c r="L62" s="938"/>
      <c r="M62" s="938"/>
      <c r="N62" s="975" t="s">
        <v>40</v>
      </c>
      <c r="O62" s="975"/>
      <c r="P62" s="975"/>
      <c r="Q62" s="976"/>
      <c r="R62" s="6"/>
      <c r="S62" s="6"/>
      <c r="T62" s="6"/>
    </row>
    <row r="63" spans="1:20" ht="12.75" customHeight="1" x14ac:dyDescent="0.25">
      <c r="A63" s="275"/>
      <c r="B63" s="6"/>
      <c r="C63" s="48"/>
      <c r="D63" s="48"/>
      <c r="E63" s="48"/>
      <c r="F63" s="48"/>
      <c r="G63" s="48"/>
      <c r="H63" s="48"/>
      <c r="I63" s="48"/>
      <c r="J63" s="977" t="s">
        <v>65</v>
      </c>
      <c r="K63" s="977"/>
      <c r="L63" s="978" t="s">
        <v>42</v>
      </c>
      <c r="M63" s="978"/>
      <c r="N63" s="979"/>
      <c r="O63" s="945"/>
      <c r="P63" s="945"/>
      <c r="Q63" s="946"/>
      <c r="R63" s="6"/>
      <c r="S63" s="6"/>
      <c r="T63" s="6"/>
    </row>
    <row r="64" spans="1:20" s="14" customFormat="1" ht="56.25" customHeight="1" x14ac:dyDescent="0.25">
      <c r="A64" s="981" t="s">
        <v>43</v>
      </c>
      <c r="B64" s="982"/>
      <c r="C64" s="187" t="s">
        <v>507</v>
      </c>
      <c r="D64" s="977" t="s">
        <v>66</v>
      </c>
      <c r="E64" s="977"/>
      <c r="F64" s="982" t="s">
        <v>67</v>
      </c>
      <c r="G64" s="982"/>
      <c r="H64" s="982" t="s">
        <v>68</v>
      </c>
      <c r="I64" s="995"/>
      <c r="J64" s="977"/>
      <c r="K64" s="977"/>
      <c r="L64" s="189" t="s">
        <v>49</v>
      </c>
      <c r="M64" s="49" t="s">
        <v>50</v>
      </c>
      <c r="N64" s="980"/>
      <c r="O64" s="947"/>
      <c r="P64" s="947"/>
      <c r="Q64" s="948"/>
    </row>
    <row r="65" spans="1:20" s="14" customFormat="1" ht="56.25" customHeight="1" x14ac:dyDescent="0.25">
      <c r="A65" s="992" t="s">
        <v>508</v>
      </c>
      <c r="B65" s="993"/>
      <c r="C65" s="996">
        <f>$D$3*H9/10*30000</f>
        <v>0</v>
      </c>
      <c r="D65" s="994"/>
      <c r="E65" s="994"/>
      <c r="F65" s="994"/>
      <c r="G65" s="994"/>
      <c r="H65" s="994"/>
      <c r="I65" s="994"/>
      <c r="J65" s="991" t="e">
        <f t="shared" ref="J65:J70" si="5">D65/F65</f>
        <v>#DIV/0!</v>
      </c>
      <c r="K65" s="991"/>
      <c r="L65" s="276">
        <v>1</v>
      </c>
      <c r="M65" s="50">
        <f>L65*H65</f>
        <v>0</v>
      </c>
      <c r="N65" s="980"/>
      <c r="O65" s="947"/>
      <c r="P65" s="947"/>
      <c r="Q65" s="948"/>
    </row>
    <row r="66" spans="1:20" s="14" customFormat="1" ht="56.25" customHeight="1" x14ac:dyDescent="0.25">
      <c r="A66" s="992" t="s">
        <v>509</v>
      </c>
      <c r="B66" s="993"/>
      <c r="C66" s="997"/>
      <c r="D66" s="994"/>
      <c r="E66" s="994"/>
      <c r="F66" s="994"/>
      <c r="G66" s="994"/>
      <c r="H66" s="994"/>
      <c r="I66" s="994"/>
      <c r="J66" s="991" t="e">
        <f t="shared" si="5"/>
        <v>#DIV/0!</v>
      </c>
      <c r="K66" s="991"/>
      <c r="L66" s="276">
        <v>1</v>
      </c>
      <c r="M66" s="50">
        <f>L66*H66</f>
        <v>0</v>
      </c>
      <c r="N66" s="980"/>
      <c r="O66" s="947"/>
      <c r="P66" s="947"/>
      <c r="Q66" s="948"/>
    </row>
    <row r="67" spans="1:20" s="32" customFormat="1" ht="24" customHeight="1" x14ac:dyDescent="0.2">
      <c r="A67" s="992" t="s">
        <v>69</v>
      </c>
      <c r="B67" s="993"/>
      <c r="C67" s="996">
        <f>300000*$D$3*(H9/10)</f>
        <v>0</v>
      </c>
      <c r="D67" s="994"/>
      <c r="E67" s="994"/>
      <c r="F67" s="1025"/>
      <c r="G67" s="1025"/>
      <c r="H67" s="1025"/>
      <c r="I67" s="1026"/>
      <c r="J67" s="991" t="e">
        <f t="shared" si="5"/>
        <v>#DIV/0!</v>
      </c>
      <c r="K67" s="991"/>
      <c r="L67" s="193" t="e">
        <f>M67/H67</f>
        <v>#REF!</v>
      </c>
      <c r="M67" s="50" t="e">
        <f>SUM(#REF!)</f>
        <v>#REF!</v>
      </c>
      <c r="N67" s="980"/>
      <c r="O67" s="947"/>
      <c r="P67" s="947"/>
      <c r="Q67" s="948"/>
    </row>
    <row r="68" spans="1:20" ht="39" customHeight="1" x14ac:dyDescent="0.25">
      <c r="A68" s="992" t="s">
        <v>70</v>
      </c>
      <c r="B68" s="993"/>
      <c r="C68" s="1023"/>
      <c r="D68" s="994"/>
      <c r="E68" s="994"/>
      <c r="F68" s="1025"/>
      <c r="G68" s="1025"/>
      <c r="H68" s="1025"/>
      <c r="I68" s="1026"/>
      <c r="J68" s="991" t="e">
        <f t="shared" si="5"/>
        <v>#DIV/0!</v>
      </c>
      <c r="K68" s="991"/>
      <c r="L68" s="193" t="e">
        <f>M68/H68</f>
        <v>#REF!</v>
      </c>
      <c r="M68" s="50" t="e">
        <f>SUM(#REF!)</f>
        <v>#REF!</v>
      </c>
      <c r="N68" s="980"/>
      <c r="O68" s="947"/>
      <c r="P68" s="947"/>
      <c r="Q68" s="948"/>
      <c r="R68" s="6"/>
      <c r="S68" s="6"/>
      <c r="T68" s="6"/>
    </row>
    <row r="69" spans="1:20" ht="26.25" customHeight="1" thickBot="1" x14ac:dyDescent="0.3">
      <c r="A69" s="1017" t="s">
        <v>71</v>
      </c>
      <c r="B69" s="1018"/>
      <c r="C69" s="1024"/>
      <c r="D69" s="1019"/>
      <c r="E69" s="1019"/>
      <c r="F69" s="1020"/>
      <c r="G69" s="1020"/>
      <c r="H69" s="1020"/>
      <c r="I69" s="1021"/>
      <c r="J69" s="1022" t="e">
        <f t="shared" si="5"/>
        <v>#DIV/0!</v>
      </c>
      <c r="K69" s="1022"/>
      <c r="L69" s="192" t="e">
        <f>M69/H69</f>
        <v>#REF!</v>
      </c>
      <c r="M69" s="51" t="e">
        <f>SUM(#REF!)</f>
        <v>#REF!</v>
      </c>
      <c r="N69" s="980"/>
      <c r="O69" s="947"/>
      <c r="P69" s="947"/>
      <c r="Q69" s="948"/>
      <c r="R69" s="6"/>
      <c r="S69" s="6"/>
      <c r="T69" s="6"/>
    </row>
    <row r="70" spans="1:20" ht="24" customHeight="1" thickBot="1" x14ac:dyDescent="0.3">
      <c r="A70" s="1003" t="s">
        <v>2</v>
      </c>
      <c r="B70" s="1004"/>
      <c r="C70" s="214">
        <f>SUM(C65:C69)</f>
        <v>0</v>
      </c>
      <c r="D70" s="1005">
        <f>SUM(D65:E69)</f>
        <v>0</v>
      </c>
      <c r="E70" s="1006"/>
      <c r="F70" s="1007">
        <f>SUM(F65:G69)</f>
        <v>0</v>
      </c>
      <c r="G70" s="1008"/>
      <c r="H70" s="1007">
        <f>SUM(H65:I69)</f>
        <v>0</v>
      </c>
      <c r="I70" s="1008"/>
      <c r="J70" s="1009" t="e">
        <f t="shared" si="5"/>
        <v>#DIV/0!</v>
      </c>
      <c r="K70" s="1010"/>
      <c r="L70" s="52" t="e">
        <f>M70/H70</f>
        <v>#REF!</v>
      </c>
      <c r="M70" s="40" t="e">
        <f>SUM(M65:M69)</f>
        <v>#REF!</v>
      </c>
      <c r="N70" s="949"/>
      <c r="O70" s="949"/>
      <c r="P70" s="949"/>
      <c r="Q70" s="950"/>
      <c r="R70" s="6"/>
      <c r="S70" s="6"/>
      <c r="T70" s="6"/>
    </row>
    <row r="71" spans="1:20" ht="15.75" thickBot="1" x14ac:dyDescent="0.3">
      <c r="R71" s="6"/>
      <c r="S71" s="6"/>
      <c r="T71" s="6"/>
    </row>
    <row r="72" spans="1:20" ht="18" x14ac:dyDescent="0.25">
      <c r="A72" s="1011" t="s">
        <v>510</v>
      </c>
      <c r="B72" s="1012"/>
      <c r="C72" s="1012"/>
      <c r="D72" s="1012"/>
      <c r="E72" s="1012"/>
      <c r="F72" s="1012"/>
      <c r="G72" s="1012"/>
      <c r="H72" s="1012"/>
      <c r="I72" s="1013"/>
      <c r="J72" s="1014" t="s">
        <v>39</v>
      </c>
      <c r="K72" s="1015"/>
      <c r="L72" s="1015"/>
      <c r="M72" s="1016"/>
      <c r="N72" s="1039" t="s">
        <v>40</v>
      </c>
      <c r="O72" s="1040"/>
      <c r="P72" s="1040"/>
      <c r="Q72" s="1041"/>
      <c r="R72" s="6"/>
      <c r="S72" s="6"/>
      <c r="T72" s="6"/>
    </row>
    <row r="73" spans="1:20" ht="22.5" customHeight="1" x14ac:dyDescent="0.25">
      <c r="A73" s="277"/>
      <c r="B73" s="53"/>
      <c r="C73" s="53"/>
      <c r="D73" s="53"/>
      <c r="E73" s="54"/>
      <c r="F73" s="54"/>
      <c r="G73" s="54"/>
      <c r="H73" s="54"/>
      <c r="I73" s="54"/>
      <c r="J73" s="954" t="s">
        <v>72</v>
      </c>
      <c r="K73" s="954"/>
      <c r="L73" s="1042" t="s">
        <v>42</v>
      </c>
      <c r="M73" s="1042"/>
      <c r="N73" s="1043"/>
      <c r="O73" s="1044"/>
      <c r="P73" s="1044"/>
      <c r="Q73" s="1045"/>
      <c r="R73" s="6"/>
      <c r="S73" s="6"/>
      <c r="T73" s="6"/>
    </row>
    <row r="74" spans="1:20" s="14" customFormat="1" ht="60.75" customHeight="1" x14ac:dyDescent="0.25">
      <c r="A74" s="1051" t="s">
        <v>43</v>
      </c>
      <c r="B74" s="1052"/>
      <c r="C74" s="181" t="s">
        <v>73</v>
      </c>
      <c r="D74" s="409" t="s">
        <v>268</v>
      </c>
      <c r="E74" s="196" t="s">
        <v>74</v>
      </c>
      <c r="F74" s="1052" t="s">
        <v>75</v>
      </c>
      <c r="G74" s="1052"/>
      <c r="H74" s="1052" t="s">
        <v>76</v>
      </c>
      <c r="I74" s="1053"/>
      <c r="J74" s="954"/>
      <c r="K74" s="954"/>
      <c r="L74" s="195" t="s">
        <v>49</v>
      </c>
      <c r="M74" s="195" t="s">
        <v>50</v>
      </c>
      <c r="N74" s="1046"/>
      <c r="O74" s="1047"/>
      <c r="P74" s="1047"/>
      <c r="Q74" s="1048"/>
    </row>
    <row r="75" spans="1:20" ht="66" customHeight="1" x14ac:dyDescent="0.25">
      <c r="A75" s="1033" t="s">
        <v>602</v>
      </c>
      <c r="B75" s="1034"/>
      <c r="C75" s="227">
        <f>D75*1000</f>
        <v>0</v>
      </c>
      <c r="D75" s="406"/>
      <c r="E75" s="407"/>
      <c r="F75" s="1035"/>
      <c r="G75" s="1036"/>
      <c r="H75" s="1037"/>
      <c r="I75" s="1038"/>
      <c r="J75" s="1031" t="e">
        <f>E75/F75</f>
        <v>#DIV/0!</v>
      </c>
      <c r="K75" s="1032"/>
      <c r="L75" s="193" t="e">
        <f>M75/H75</f>
        <v>#REF!</v>
      </c>
      <c r="M75" s="200" t="e">
        <f>SUM(#REF!)</f>
        <v>#REF!</v>
      </c>
      <c r="N75" s="1046"/>
      <c r="O75" s="1047"/>
      <c r="P75" s="1047"/>
      <c r="Q75" s="1048"/>
      <c r="R75" s="6"/>
      <c r="S75" s="6"/>
      <c r="T75" s="6"/>
    </row>
    <row r="76" spans="1:20" ht="67.5" customHeight="1" x14ac:dyDescent="0.25">
      <c r="A76" s="1033" t="s">
        <v>603</v>
      </c>
      <c r="B76" s="1034"/>
      <c r="C76" s="227">
        <f>D76*1500</f>
        <v>0</v>
      </c>
      <c r="D76" s="406"/>
      <c r="E76" s="407"/>
      <c r="F76" s="1029"/>
      <c r="G76" s="1029"/>
      <c r="H76" s="1030"/>
      <c r="I76" s="1030"/>
      <c r="J76" s="1031" t="e">
        <f t="shared" ref="J76:J81" si="6">E76/F76</f>
        <v>#DIV/0!</v>
      </c>
      <c r="K76" s="1032"/>
      <c r="L76" s="193" t="e">
        <f t="shared" ref="L76:L81" si="7">M76/H76</f>
        <v>#REF!</v>
      </c>
      <c r="M76" s="200" t="e">
        <f>SUM(#REF!)</f>
        <v>#REF!</v>
      </c>
      <c r="N76" s="1046"/>
      <c r="O76" s="1047"/>
      <c r="P76" s="1047"/>
      <c r="Q76" s="1048"/>
      <c r="R76" s="48"/>
      <c r="T76" s="6"/>
    </row>
    <row r="77" spans="1:20" ht="134.25" customHeight="1" x14ac:dyDescent="0.25">
      <c r="A77" s="1027" t="s">
        <v>77</v>
      </c>
      <c r="B77" s="1028"/>
      <c r="C77" s="468">
        <f>E77*1.3</f>
        <v>0</v>
      </c>
      <c r="D77" s="406"/>
      <c r="E77" s="407"/>
      <c r="F77" s="1029"/>
      <c r="G77" s="1029"/>
      <c r="H77" s="1030"/>
      <c r="I77" s="1030"/>
      <c r="J77" s="1031" t="e">
        <f t="shared" si="6"/>
        <v>#DIV/0!</v>
      </c>
      <c r="K77" s="1032"/>
      <c r="L77" s="193" t="e">
        <f t="shared" si="7"/>
        <v>#REF!</v>
      </c>
      <c r="M77" s="200" t="e">
        <f>SUM(#REF!)</f>
        <v>#REF!</v>
      </c>
      <c r="N77" s="1046"/>
      <c r="O77" s="1047"/>
      <c r="P77" s="1047"/>
      <c r="Q77" s="1048"/>
      <c r="R77" s="48"/>
      <c r="T77" s="6"/>
    </row>
    <row r="78" spans="1:20" ht="93.75" customHeight="1" x14ac:dyDescent="0.25">
      <c r="A78" s="1033" t="s">
        <v>78</v>
      </c>
      <c r="B78" s="1034"/>
      <c r="C78" s="227">
        <f>750*D78</f>
        <v>0</v>
      </c>
      <c r="D78" s="406"/>
      <c r="E78" s="407"/>
      <c r="F78" s="1029"/>
      <c r="G78" s="1029"/>
      <c r="H78" s="1030"/>
      <c r="I78" s="1030"/>
      <c r="J78" s="1031" t="e">
        <f t="shared" si="6"/>
        <v>#DIV/0!</v>
      </c>
      <c r="K78" s="1032"/>
      <c r="L78" s="193" t="e">
        <f t="shared" si="7"/>
        <v>#REF!</v>
      </c>
      <c r="M78" s="200" t="e">
        <f>SUM(#REF!)</f>
        <v>#REF!</v>
      </c>
      <c r="N78" s="1046"/>
      <c r="O78" s="1047"/>
      <c r="P78" s="1047"/>
      <c r="Q78" s="1048"/>
      <c r="R78" s="48"/>
      <c r="T78" s="6"/>
    </row>
    <row r="79" spans="1:20" ht="42" customHeight="1" x14ac:dyDescent="0.25">
      <c r="A79" s="1033" t="s">
        <v>266</v>
      </c>
      <c r="B79" s="1034"/>
      <c r="C79" s="228">
        <f>1000*D79</f>
        <v>0</v>
      </c>
      <c r="D79" s="406"/>
      <c r="E79" s="407"/>
      <c r="F79" s="1029"/>
      <c r="G79" s="1029"/>
      <c r="H79" s="1030"/>
      <c r="I79" s="1030"/>
      <c r="J79" s="1031" t="e">
        <f t="shared" si="6"/>
        <v>#DIV/0!</v>
      </c>
      <c r="K79" s="1032"/>
      <c r="L79" s="193" t="e">
        <f t="shared" si="7"/>
        <v>#REF!</v>
      </c>
      <c r="M79" s="200" t="e">
        <f>SUM(#REF!)</f>
        <v>#REF!</v>
      </c>
      <c r="N79" s="1046"/>
      <c r="O79" s="1047"/>
      <c r="P79" s="1047"/>
      <c r="Q79" s="1048"/>
      <c r="R79" s="48"/>
      <c r="T79" s="6"/>
    </row>
    <row r="80" spans="1:20" ht="42" customHeight="1" x14ac:dyDescent="0.25">
      <c r="A80" s="1033" t="s">
        <v>267</v>
      </c>
      <c r="B80" s="1034"/>
      <c r="C80" s="228">
        <f>1500*D80</f>
        <v>0</v>
      </c>
      <c r="D80" s="406"/>
      <c r="E80" s="407"/>
      <c r="F80" s="1029"/>
      <c r="G80" s="1029"/>
      <c r="H80" s="1030"/>
      <c r="I80" s="1030"/>
      <c r="J80" s="1031" t="e">
        <f t="shared" si="6"/>
        <v>#DIV/0!</v>
      </c>
      <c r="K80" s="1032"/>
      <c r="L80" s="193" t="e">
        <f t="shared" si="7"/>
        <v>#REF!</v>
      </c>
      <c r="M80" s="200" t="e">
        <f>SUM(#REF!)</f>
        <v>#REF!</v>
      </c>
      <c r="N80" s="1046"/>
      <c r="O80" s="1047"/>
      <c r="P80" s="1047"/>
      <c r="Q80" s="1048"/>
      <c r="R80" s="48"/>
      <c r="T80" s="6"/>
    </row>
    <row r="81" spans="1:20" ht="42.75" customHeight="1" thickBot="1" x14ac:dyDescent="0.3">
      <c r="A81" s="1054" t="s">
        <v>79</v>
      </c>
      <c r="B81" s="1055"/>
      <c r="C81" s="228" t="s">
        <v>80</v>
      </c>
      <c r="D81" s="469"/>
      <c r="E81" s="408"/>
      <c r="F81" s="1056"/>
      <c r="G81" s="1056"/>
      <c r="H81" s="1057"/>
      <c r="I81" s="1057"/>
      <c r="J81" s="1058" t="e">
        <f t="shared" si="6"/>
        <v>#DIV/0!</v>
      </c>
      <c r="K81" s="1059"/>
      <c r="L81" s="192" t="e">
        <f t="shared" si="7"/>
        <v>#REF!</v>
      </c>
      <c r="M81" s="55" t="e">
        <f>SUM(#REF!)</f>
        <v>#REF!</v>
      </c>
      <c r="N81" s="1046"/>
      <c r="O81" s="1047"/>
      <c r="P81" s="1047"/>
      <c r="Q81" s="1048"/>
      <c r="R81" s="48"/>
      <c r="T81" s="6"/>
    </row>
    <row r="82" spans="1:20" ht="19.5" thickBot="1" x14ac:dyDescent="0.35">
      <c r="A82" s="1060" t="s">
        <v>2</v>
      </c>
      <c r="B82" s="1061"/>
      <c r="C82" s="470">
        <f>SUM(C75:C81)</f>
        <v>0</v>
      </c>
      <c r="D82" s="470"/>
      <c r="E82" s="56">
        <f>SUM(E75:E81)</f>
        <v>0</v>
      </c>
      <c r="F82" s="1062">
        <f>SUM(F75:F81)</f>
        <v>0</v>
      </c>
      <c r="G82" s="1063">
        <f>SUM(G75:G81)</f>
        <v>0</v>
      </c>
      <c r="H82" s="1062">
        <f>SUM(H75:H81)</f>
        <v>0</v>
      </c>
      <c r="I82" s="1063">
        <f>SUM(I75:I81)</f>
        <v>0</v>
      </c>
      <c r="J82" s="1064" t="e">
        <f>E82/F82</f>
        <v>#DIV/0!</v>
      </c>
      <c r="K82" s="1065"/>
      <c r="L82" s="57" t="e">
        <f>M82/H82</f>
        <v>#REF!</v>
      </c>
      <c r="M82" s="58" t="e">
        <f>SUM(M75:M81)</f>
        <v>#REF!</v>
      </c>
      <c r="N82" s="1049"/>
      <c r="O82" s="1049"/>
      <c r="P82" s="1049"/>
      <c r="Q82" s="1050"/>
      <c r="R82" s="48"/>
      <c r="S82" s="48"/>
    </row>
    <row r="83" spans="1:20" ht="18.75" thickBot="1" x14ac:dyDescent="0.3">
      <c r="A83" s="278"/>
      <c r="B83" s="278"/>
      <c r="C83" s="48"/>
      <c r="D83" s="48"/>
      <c r="E83" s="48"/>
      <c r="F83" s="59"/>
      <c r="G83" s="59"/>
      <c r="H83" s="59"/>
      <c r="I83" s="59"/>
      <c r="J83" s="60"/>
      <c r="K83" s="60"/>
      <c r="L83" s="61"/>
      <c r="M83" s="62"/>
      <c r="N83" s="34"/>
      <c r="O83" s="34"/>
      <c r="P83" s="34"/>
      <c r="Q83" s="34"/>
      <c r="R83" s="48"/>
      <c r="S83" s="48"/>
    </row>
    <row r="84" spans="1:20" ht="18" x14ac:dyDescent="0.25">
      <c r="A84" s="1094" t="s">
        <v>81</v>
      </c>
      <c r="B84" s="1095"/>
      <c r="C84" s="1095"/>
      <c r="D84" s="1095"/>
      <c r="E84" s="1095"/>
      <c r="F84" s="1095"/>
      <c r="G84" s="1095"/>
      <c r="H84" s="1095"/>
      <c r="I84" s="1096"/>
      <c r="J84" s="61"/>
      <c r="K84" s="61"/>
      <c r="L84" s="61"/>
      <c r="M84" s="62"/>
      <c r="N84" s="63"/>
      <c r="O84" s="13"/>
      <c r="P84" s="48"/>
      <c r="Q84" s="48"/>
      <c r="R84" s="48"/>
      <c r="S84" s="48"/>
    </row>
    <row r="85" spans="1:20" ht="72" customHeight="1" x14ac:dyDescent="0.25">
      <c r="A85" s="1081" t="s">
        <v>82</v>
      </c>
      <c r="B85" s="1072"/>
      <c r="C85" s="1072"/>
      <c r="D85" s="1072"/>
      <c r="E85" s="1072"/>
      <c r="F85" s="203" t="s">
        <v>83</v>
      </c>
      <c r="G85" s="203" t="s">
        <v>84</v>
      </c>
      <c r="H85" s="1097" t="s">
        <v>85</v>
      </c>
      <c r="I85" s="1098"/>
      <c r="J85" s="61"/>
      <c r="K85" s="62"/>
      <c r="L85" s="63"/>
      <c r="M85" s="13"/>
      <c r="N85" s="48"/>
      <c r="O85" s="48"/>
      <c r="P85" s="48"/>
      <c r="Q85" s="48"/>
      <c r="S85" s="6"/>
      <c r="T85" s="6"/>
    </row>
    <row r="86" spans="1:20" x14ac:dyDescent="0.25">
      <c r="A86" s="1082" t="s">
        <v>86</v>
      </c>
      <c r="B86" s="1083"/>
      <c r="C86" s="1083"/>
      <c r="D86" s="1083"/>
      <c r="E86" s="1083"/>
      <c r="F86" s="471"/>
      <c r="G86" s="472"/>
      <c r="H86" s="1084"/>
      <c r="I86" s="1085"/>
      <c r="J86" s="61"/>
      <c r="K86" s="62"/>
      <c r="L86" s="63"/>
      <c r="M86" s="13"/>
      <c r="N86" s="48"/>
      <c r="O86" s="48"/>
      <c r="P86" s="48"/>
      <c r="Q86" s="48"/>
      <c r="S86" s="6"/>
      <c r="T86" s="6"/>
    </row>
    <row r="87" spans="1:20" x14ac:dyDescent="0.25">
      <c r="A87" s="1082" t="s">
        <v>87</v>
      </c>
      <c r="B87" s="1083"/>
      <c r="C87" s="1083"/>
      <c r="D87" s="1083"/>
      <c r="E87" s="1083"/>
      <c r="F87" s="471"/>
      <c r="G87" s="472"/>
      <c r="H87" s="1084"/>
      <c r="I87" s="1085"/>
      <c r="J87" s="61"/>
      <c r="K87" s="62"/>
      <c r="L87" s="63"/>
      <c r="M87" s="13"/>
      <c r="N87" s="48"/>
      <c r="O87" s="48"/>
      <c r="P87" s="48"/>
      <c r="Q87" s="48"/>
      <c r="S87" s="6"/>
      <c r="T87" s="6"/>
    </row>
    <row r="88" spans="1:20" x14ac:dyDescent="0.25">
      <c r="A88" s="1082" t="s">
        <v>88</v>
      </c>
      <c r="B88" s="1083"/>
      <c r="C88" s="1083"/>
      <c r="D88" s="1083"/>
      <c r="E88" s="1083"/>
      <c r="F88" s="471"/>
      <c r="G88" s="472"/>
      <c r="H88" s="1084"/>
      <c r="I88" s="1085"/>
      <c r="J88" s="61"/>
      <c r="K88" s="62"/>
      <c r="L88" s="63"/>
      <c r="M88" s="13"/>
      <c r="N88" s="48"/>
      <c r="O88" s="48"/>
      <c r="P88" s="48"/>
      <c r="Q88" s="48"/>
      <c r="S88" s="6"/>
      <c r="T88" s="6"/>
    </row>
    <row r="89" spans="1:20" ht="15" customHeight="1" thickBot="1" x14ac:dyDescent="0.3">
      <c r="A89" s="1086" t="s">
        <v>89</v>
      </c>
      <c r="B89" s="1087"/>
      <c r="C89" s="1087"/>
      <c r="D89" s="1087"/>
      <c r="E89" s="1087"/>
      <c r="F89" s="473"/>
      <c r="G89" s="474"/>
      <c r="H89" s="1088"/>
      <c r="I89" s="1089"/>
      <c r="J89" s="61"/>
      <c r="K89" s="62"/>
      <c r="L89" s="63"/>
      <c r="M89" s="13"/>
      <c r="N89" s="48"/>
      <c r="O89" s="48"/>
      <c r="P89" s="48"/>
      <c r="Q89" s="48"/>
      <c r="S89" s="6"/>
      <c r="T89" s="6"/>
    </row>
    <row r="90" spans="1:20" ht="15.75" thickBot="1" x14ac:dyDescent="0.3">
      <c r="A90" s="1090" t="s">
        <v>2</v>
      </c>
      <c r="B90" s="1091"/>
      <c r="C90" s="1091"/>
      <c r="D90" s="1091"/>
      <c r="E90" s="1091"/>
      <c r="F90" s="64">
        <f>SUM(F86:F89)</f>
        <v>0</v>
      </c>
      <c r="G90" s="64">
        <f>SUM(G86:G89)</f>
        <v>0</v>
      </c>
      <c r="H90" s="1092">
        <f>SUM(H86:I89)</f>
        <v>0</v>
      </c>
      <c r="I90" s="1093"/>
      <c r="J90" s="61"/>
      <c r="K90" s="62"/>
      <c r="L90" s="63"/>
      <c r="M90" s="13"/>
      <c r="N90" s="48"/>
      <c r="O90" s="48"/>
      <c r="P90" s="48"/>
      <c r="Q90" s="48"/>
      <c r="S90" s="6"/>
      <c r="T90" s="6"/>
    </row>
    <row r="91" spans="1:20" ht="15.75" thickBot="1" x14ac:dyDescent="0.3">
      <c r="A91" s="279"/>
      <c r="B91" s="65"/>
      <c r="C91" s="48"/>
      <c r="D91" s="59"/>
      <c r="E91" s="48"/>
      <c r="F91" s="59"/>
      <c r="G91" s="48"/>
      <c r="H91" s="59"/>
      <c r="I91" s="48"/>
      <c r="J91" s="61"/>
      <c r="K91" s="61"/>
      <c r="L91" s="61"/>
      <c r="M91" s="62"/>
      <c r="N91" s="63"/>
      <c r="O91" s="13"/>
      <c r="P91" s="48"/>
      <c r="Q91" s="48"/>
      <c r="R91" s="48"/>
      <c r="S91" s="48"/>
    </row>
    <row r="92" spans="1:20" ht="18" x14ac:dyDescent="0.25">
      <c r="A92" s="1066" t="s">
        <v>511</v>
      </c>
      <c r="B92" s="1067"/>
      <c r="C92" s="1067"/>
      <c r="D92" s="1067"/>
      <c r="E92" s="1067"/>
      <c r="F92" s="1067"/>
      <c r="G92" s="1067"/>
      <c r="H92" s="1067"/>
      <c r="I92" s="1067"/>
      <c r="J92" s="1014" t="s">
        <v>39</v>
      </c>
      <c r="K92" s="1015"/>
      <c r="L92" s="1015"/>
      <c r="M92" s="1016"/>
      <c r="N92" s="1068" t="s">
        <v>40</v>
      </c>
      <c r="O92" s="1069"/>
      <c r="P92" s="1069"/>
      <c r="Q92" s="1070"/>
    </row>
    <row r="93" spans="1:20" ht="15.75" customHeight="1" x14ac:dyDescent="0.25">
      <c r="A93" s="280"/>
      <c r="B93" s="66"/>
      <c r="C93" s="66"/>
      <c r="D93" s="66"/>
      <c r="E93" s="66"/>
      <c r="F93" s="66"/>
      <c r="G93" s="66"/>
      <c r="H93" s="66"/>
      <c r="I93" s="66"/>
      <c r="J93" s="1071" t="s">
        <v>90</v>
      </c>
      <c r="K93" s="1071"/>
      <c r="L93" s="1072" t="s">
        <v>42</v>
      </c>
      <c r="M93" s="1072"/>
      <c r="N93" s="1073">
        <v>6</v>
      </c>
      <c r="O93" s="1074"/>
      <c r="P93" s="1074"/>
      <c r="Q93" s="1075"/>
    </row>
    <row r="94" spans="1:20" ht="29.25" customHeight="1" x14ac:dyDescent="0.25">
      <c r="A94" s="1081" t="s">
        <v>43</v>
      </c>
      <c r="B94" s="1071" t="s">
        <v>560</v>
      </c>
      <c r="C94" s="1071" t="s">
        <v>561</v>
      </c>
      <c r="D94" s="1071"/>
      <c r="E94" s="1071" t="s">
        <v>562</v>
      </c>
      <c r="F94" s="1114" t="s">
        <v>557</v>
      </c>
      <c r="G94" s="1114"/>
      <c r="H94" s="1071" t="s">
        <v>558</v>
      </c>
      <c r="I94" s="1071"/>
      <c r="J94" s="1071"/>
      <c r="K94" s="1071"/>
      <c r="L94" s="1072" t="s">
        <v>49</v>
      </c>
      <c r="M94" s="1072" t="s">
        <v>50</v>
      </c>
      <c r="N94" s="1076"/>
      <c r="O94" s="1077"/>
      <c r="P94" s="1077"/>
      <c r="Q94" s="1078"/>
    </row>
    <row r="95" spans="1:20" ht="29.25" customHeight="1" x14ac:dyDescent="0.25">
      <c r="A95" s="1081"/>
      <c r="B95" s="1071"/>
      <c r="C95" s="1071"/>
      <c r="D95" s="1071"/>
      <c r="E95" s="1071"/>
      <c r="F95" s="1114"/>
      <c r="G95" s="1114"/>
      <c r="H95" s="1071"/>
      <c r="I95" s="1071"/>
      <c r="J95" s="1071"/>
      <c r="K95" s="1071"/>
      <c r="L95" s="1072"/>
      <c r="M95" s="1072"/>
      <c r="N95" s="1076"/>
      <c r="O95" s="1077"/>
      <c r="P95" s="1077"/>
      <c r="Q95" s="1078"/>
    </row>
    <row r="96" spans="1:20" ht="50.25" customHeight="1" x14ac:dyDescent="0.25">
      <c r="A96" s="207" t="s">
        <v>563</v>
      </c>
      <c r="B96" s="475"/>
      <c r="C96" s="1099"/>
      <c r="D96" s="1099"/>
      <c r="E96" s="475"/>
      <c r="F96" s="1116"/>
      <c r="G96" s="1116"/>
      <c r="H96" s="1099"/>
      <c r="I96" s="1099"/>
      <c r="J96" s="1100" t="e">
        <f>E96/C96</f>
        <v>#DIV/0!</v>
      </c>
      <c r="K96" s="1100"/>
      <c r="L96" s="281">
        <v>0.8</v>
      </c>
      <c r="M96" s="282">
        <f>L96*H96</f>
        <v>0</v>
      </c>
      <c r="N96" s="1076"/>
      <c r="O96" s="1077"/>
      <c r="P96" s="1077"/>
      <c r="Q96" s="1078"/>
    </row>
    <row r="97" spans="1:20" ht="29.25" customHeight="1" x14ac:dyDescent="0.25">
      <c r="A97" s="197" t="s">
        <v>512</v>
      </c>
      <c r="B97" s="475"/>
      <c r="C97" s="1099"/>
      <c r="D97" s="1099"/>
      <c r="E97" s="475"/>
      <c r="F97" s="1115">
        <f>$D$3*(IF(H9&gt;300,"2000000",IF(H9&gt;100,"1400000","1000000")))</f>
        <v>1000000</v>
      </c>
      <c r="G97" s="1115"/>
      <c r="H97" s="1099">
        <v>0</v>
      </c>
      <c r="I97" s="1099"/>
      <c r="J97" s="1100" t="e">
        <f>E97/C97</f>
        <v>#DIV/0!</v>
      </c>
      <c r="K97" s="1100"/>
      <c r="L97" s="281">
        <v>0.8</v>
      </c>
      <c r="M97" s="282">
        <f>L97*H97</f>
        <v>0</v>
      </c>
      <c r="N97" s="1076"/>
      <c r="O97" s="1077"/>
      <c r="P97" s="1077"/>
      <c r="Q97" s="1078"/>
    </row>
    <row r="98" spans="1:20" s="32" customFormat="1" ht="15.75" thickBot="1" x14ac:dyDescent="0.3">
      <c r="A98" s="283" t="s">
        <v>513</v>
      </c>
      <c r="B98" s="475"/>
      <c r="C98" s="1108"/>
      <c r="D98" s="1109"/>
      <c r="E98" s="475"/>
      <c r="F98" s="1110">
        <v>0</v>
      </c>
      <c r="G98" s="1110"/>
      <c r="H98" s="1099"/>
      <c r="I98" s="1099"/>
      <c r="J98" s="1111" t="e">
        <f>E98/C98</f>
        <v>#DIV/0!</v>
      </c>
      <c r="K98" s="1111"/>
      <c r="L98" s="284" t="e">
        <f>M98/H98</f>
        <v>#REF!</v>
      </c>
      <c r="M98" s="285" t="e">
        <f>SUM(#REF!)</f>
        <v>#REF!</v>
      </c>
      <c r="N98" s="1076"/>
      <c r="O98" s="1077"/>
      <c r="P98" s="1077"/>
      <c r="Q98" s="1078"/>
    </row>
    <row r="99" spans="1:20" s="32" customFormat="1" ht="15.75" thickBot="1" x14ac:dyDescent="0.3">
      <c r="A99" s="286" t="s">
        <v>2</v>
      </c>
      <c r="B99" s="287">
        <f>SUM(B97:B98)</f>
        <v>0</v>
      </c>
      <c r="C99" s="1112">
        <f>SUM(C97:D98)</f>
        <v>0</v>
      </c>
      <c r="D99" s="1112"/>
      <c r="E99" s="287">
        <f>SUM(E97:E98)</f>
        <v>0</v>
      </c>
      <c r="F99" s="1112">
        <f>SUM(F97:G98)</f>
        <v>1000000</v>
      </c>
      <c r="G99" s="1112"/>
      <c r="H99" s="1112">
        <f>SUM(H97:I98)</f>
        <v>0</v>
      </c>
      <c r="I99" s="1112"/>
      <c r="J99" s="1113" t="e">
        <f>E99/C99</f>
        <v>#DIV/0!</v>
      </c>
      <c r="K99" s="1113"/>
      <c r="L99" s="288" t="e">
        <f>M99/H99</f>
        <v>#REF!</v>
      </c>
      <c r="M99" s="289" t="e">
        <f>SUM(M97:M98)</f>
        <v>#REF!</v>
      </c>
      <c r="N99" s="1079"/>
      <c r="O99" s="1079"/>
      <c r="P99" s="1079"/>
      <c r="Q99" s="1080"/>
    </row>
    <row r="100" spans="1:20" ht="13.5" customHeight="1" thickBot="1" x14ac:dyDescent="0.3">
      <c r="A100" s="67"/>
      <c r="B100" s="67"/>
      <c r="C100" s="67"/>
      <c r="D100" s="67"/>
      <c r="E100" s="67"/>
      <c r="F100" s="67"/>
      <c r="G100" s="67"/>
      <c r="H100" s="67"/>
      <c r="I100" s="48"/>
      <c r="J100" s="48"/>
    </row>
    <row r="101" spans="1:20" ht="18" x14ac:dyDescent="0.25">
      <c r="A101" s="1011" t="s">
        <v>7</v>
      </c>
      <c r="B101" s="1012"/>
      <c r="C101" s="1012"/>
      <c r="D101" s="1012"/>
      <c r="E101" s="1012"/>
      <c r="F101" s="1012"/>
      <c r="G101" s="1012"/>
      <c r="H101" s="1012"/>
      <c r="I101" s="1012"/>
      <c r="J101" s="1012"/>
      <c r="K101" s="1125" t="s">
        <v>39</v>
      </c>
      <c r="L101" s="1125"/>
      <c r="M101" s="1125"/>
      <c r="N101" s="1125"/>
      <c r="O101" s="1101" t="s">
        <v>40</v>
      </c>
      <c r="P101" s="1101"/>
      <c r="Q101" s="1102"/>
      <c r="T101" s="6"/>
    </row>
    <row r="102" spans="1:20" ht="13.5" customHeight="1" x14ac:dyDescent="0.25">
      <c r="A102" s="290"/>
      <c r="B102" s="68"/>
      <c r="C102" s="68"/>
      <c r="D102" s="69"/>
      <c r="E102" s="68"/>
      <c r="F102" s="68"/>
      <c r="G102" s="68"/>
      <c r="H102" s="68"/>
      <c r="I102" s="68"/>
      <c r="J102" s="68"/>
      <c r="K102" s="1071" t="s">
        <v>72</v>
      </c>
      <c r="L102" s="1071"/>
      <c r="M102" s="1072" t="s">
        <v>42</v>
      </c>
      <c r="N102" s="1072"/>
      <c r="O102" s="1103"/>
      <c r="P102" s="1103"/>
      <c r="Q102" s="1103"/>
      <c r="T102" s="6"/>
    </row>
    <row r="103" spans="1:20" s="71" customFormat="1" ht="57" customHeight="1" x14ac:dyDescent="0.25">
      <c r="A103" s="1105" t="s">
        <v>91</v>
      </c>
      <c r="B103" s="1106"/>
      <c r="C103" s="202" t="s">
        <v>514</v>
      </c>
      <c r="D103" s="291" t="s">
        <v>92</v>
      </c>
      <c r="E103" s="1106" t="s">
        <v>74</v>
      </c>
      <c r="F103" s="1106"/>
      <c r="G103" s="1106" t="s">
        <v>93</v>
      </c>
      <c r="H103" s="1106"/>
      <c r="I103" s="1106" t="s">
        <v>76</v>
      </c>
      <c r="J103" s="1107"/>
      <c r="K103" s="1071"/>
      <c r="L103" s="1071"/>
      <c r="M103" s="198" t="s">
        <v>49</v>
      </c>
      <c r="N103" s="198" t="s">
        <v>50</v>
      </c>
      <c r="O103" s="1104"/>
      <c r="P103" s="1104"/>
      <c r="Q103" s="1104"/>
      <c r="R103" s="70"/>
      <c r="S103" s="70"/>
    </row>
    <row r="104" spans="1:20" s="71" customFormat="1" ht="30" customHeight="1" x14ac:dyDescent="0.25">
      <c r="A104" s="1122" t="s">
        <v>375</v>
      </c>
      <c r="B104" s="1123"/>
      <c r="C104" s="1123"/>
      <c r="D104" s="1123"/>
      <c r="E104" s="1123"/>
      <c r="F104" s="1123"/>
      <c r="G104" s="1123"/>
      <c r="H104" s="1123"/>
      <c r="I104" s="1123"/>
      <c r="J104" s="1123"/>
      <c r="K104" s="1123"/>
      <c r="L104" s="1123"/>
      <c r="M104" s="1123"/>
      <c r="N104" s="1124"/>
      <c r="O104" s="1104"/>
      <c r="P104" s="1104"/>
      <c r="Q104" s="1104"/>
      <c r="R104" s="70"/>
      <c r="S104" s="70"/>
    </row>
    <row r="105" spans="1:20" s="71" customFormat="1" ht="66.75" customHeight="1" x14ac:dyDescent="0.25">
      <c r="A105" s="1117" t="s">
        <v>515</v>
      </c>
      <c r="B105" s="1118"/>
      <c r="C105" s="410"/>
      <c r="D105" s="201">
        <f>$D$3*C105*45000</f>
        <v>0</v>
      </c>
      <c r="E105" s="1119"/>
      <c r="F105" s="1120"/>
      <c r="G105" s="1119"/>
      <c r="H105" s="1120"/>
      <c r="I105" s="1119"/>
      <c r="J105" s="1120"/>
      <c r="K105" s="1121" t="e">
        <f>E105/G105</f>
        <v>#DIV/0!</v>
      </c>
      <c r="L105" s="1121"/>
      <c r="M105" s="292">
        <v>0.8</v>
      </c>
      <c r="N105" s="200">
        <f>M105*I105</f>
        <v>0</v>
      </c>
      <c r="O105" s="1104"/>
      <c r="P105" s="1104"/>
      <c r="Q105" s="1104"/>
      <c r="R105" s="70"/>
      <c r="S105" s="70"/>
    </row>
    <row r="106" spans="1:20" s="71" customFormat="1" ht="33.75" customHeight="1" x14ac:dyDescent="0.25">
      <c r="A106" s="1117" t="s">
        <v>95</v>
      </c>
      <c r="B106" s="1118"/>
      <c r="C106" s="410"/>
      <c r="D106" s="201">
        <f>$D$3*C106*2000</f>
        <v>0</v>
      </c>
      <c r="E106" s="1119"/>
      <c r="F106" s="1120"/>
      <c r="G106" s="1119"/>
      <c r="H106" s="1120"/>
      <c r="I106" s="1119"/>
      <c r="J106" s="1120"/>
      <c r="K106" s="1121" t="e">
        <f t="shared" ref="K106:K118" si="8">E106/G106</f>
        <v>#DIV/0!</v>
      </c>
      <c r="L106" s="1121"/>
      <c r="M106" s="292">
        <v>1</v>
      </c>
      <c r="N106" s="200">
        <f t="shared" ref="N106:N118" si="9">M106*I106</f>
        <v>0</v>
      </c>
      <c r="O106" s="1104"/>
      <c r="P106" s="1104"/>
      <c r="Q106" s="1104"/>
      <c r="R106" s="70"/>
      <c r="S106" s="70"/>
    </row>
    <row r="107" spans="1:20" s="71" customFormat="1" ht="33.75" customHeight="1" x14ac:dyDescent="0.25">
      <c r="A107" s="1117" t="s">
        <v>96</v>
      </c>
      <c r="B107" s="1118"/>
      <c r="C107" s="410"/>
      <c r="D107" s="201">
        <f>$D$3*C107*5000</f>
        <v>0</v>
      </c>
      <c r="E107" s="1119"/>
      <c r="F107" s="1120"/>
      <c r="G107" s="1119"/>
      <c r="H107" s="1120"/>
      <c r="I107" s="1119"/>
      <c r="J107" s="1120"/>
      <c r="K107" s="1121" t="e">
        <f t="shared" si="8"/>
        <v>#DIV/0!</v>
      </c>
      <c r="L107" s="1121"/>
      <c r="M107" s="292">
        <v>1</v>
      </c>
      <c r="N107" s="200">
        <f t="shared" si="9"/>
        <v>0</v>
      </c>
      <c r="O107" s="1104"/>
      <c r="P107" s="1104"/>
      <c r="Q107" s="1104"/>
      <c r="R107" s="70"/>
      <c r="S107" s="70"/>
    </row>
    <row r="108" spans="1:20" s="71" customFormat="1" ht="33.75" customHeight="1" x14ac:dyDescent="0.25">
      <c r="A108" s="1117" t="s">
        <v>97</v>
      </c>
      <c r="B108" s="1118"/>
      <c r="C108" s="410"/>
      <c r="D108" s="201">
        <f>$D$3*C108*92000</f>
        <v>0</v>
      </c>
      <c r="E108" s="1119"/>
      <c r="F108" s="1120"/>
      <c r="G108" s="1119"/>
      <c r="H108" s="1120"/>
      <c r="I108" s="1119"/>
      <c r="J108" s="1120"/>
      <c r="K108" s="1121" t="e">
        <f t="shared" si="8"/>
        <v>#DIV/0!</v>
      </c>
      <c r="L108" s="1121"/>
      <c r="M108" s="292"/>
      <c r="N108" s="200">
        <f t="shared" si="9"/>
        <v>0</v>
      </c>
      <c r="O108" s="1104"/>
      <c r="P108" s="1104"/>
      <c r="Q108" s="1104"/>
      <c r="R108" s="70"/>
      <c r="S108" s="70"/>
    </row>
    <row r="109" spans="1:20" s="71" customFormat="1" ht="33.75" customHeight="1" x14ac:dyDescent="0.25">
      <c r="A109" s="1117" t="s">
        <v>98</v>
      </c>
      <c r="B109" s="1118"/>
      <c r="C109" s="410"/>
      <c r="D109" s="201">
        <f>$D$3*C109*45000</f>
        <v>0</v>
      </c>
      <c r="E109" s="1119"/>
      <c r="F109" s="1120"/>
      <c r="G109" s="1119"/>
      <c r="H109" s="1120"/>
      <c r="I109" s="1119"/>
      <c r="J109" s="1120"/>
      <c r="K109" s="1121" t="e">
        <f t="shared" si="8"/>
        <v>#DIV/0!</v>
      </c>
      <c r="L109" s="1121"/>
      <c r="M109" s="292"/>
      <c r="N109" s="200">
        <f t="shared" si="9"/>
        <v>0</v>
      </c>
      <c r="O109" s="1104"/>
      <c r="P109" s="1104"/>
      <c r="Q109" s="1104"/>
      <c r="R109" s="70"/>
      <c r="S109" s="70"/>
    </row>
    <row r="110" spans="1:20" s="71" customFormat="1" ht="51.75" customHeight="1" x14ac:dyDescent="0.25">
      <c r="A110" s="1117" t="s">
        <v>516</v>
      </c>
      <c r="B110" s="1118"/>
      <c r="C110" s="410"/>
      <c r="D110" s="219" t="s">
        <v>517</v>
      </c>
      <c r="E110" s="1119"/>
      <c r="F110" s="1120"/>
      <c r="G110" s="1119"/>
      <c r="H110" s="1120"/>
      <c r="I110" s="1119"/>
      <c r="J110" s="1120"/>
      <c r="K110" s="1121" t="e">
        <f t="shared" si="8"/>
        <v>#DIV/0!</v>
      </c>
      <c r="L110" s="1121"/>
      <c r="M110" s="292"/>
      <c r="N110" s="200">
        <f t="shared" si="9"/>
        <v>0</v>
      </c>
      <c r="O110" s="1104"/>
      <c r="P110" s="1104"/>
      <c r="Q110" s="1104"/>
      <c r="R110" s="70"/>
      <c r="S110" s="70"/>
    </row>
    <row r="111" spans="1:20" s="71" customFormat="1" ht="33.75" customHeight="1" x14ac:dyDescent="0.25">
      <c r="A111" s="1117" t="s">
        <v>99</v>
      </c>
      <c r="B111" s="1118"/>
      <c r="C111" s="410"/>
      <c r="D111" s="201">
        <f>$D$3*C111*681000+$D$3*C111*45000</f>
        <v>0</v>
      </c>
      <c r="E111" s="1119"/>
      <c r="F111" s="1120"/>
      <c r="G111" s="1119"/>
      <c r="H111" s="1120"/>
      <c r="I111" s="1119"/>
      <c r="J111" s="1120"/>
      <c r="K111" s="1121" t="e">
        <f t="shared" si="8"/>
        <v>#DIV/0!</v>
      </c>
      <c r="L111" s="1121"/>
      <c r="M111" s="292">
        <v>1</v>
      </c>
      <c r="N111" s="200">
        <f t="shared" si="9"/>
        <v>0</v>
      </c>
      <c r="O111" s="1104"/>
      <c r="P111" s="1104"/>
      <c r="Q111" s="1104"/>
      <c r="R111" s="70"/>
      <c r="S111" s="70"/>
    </row>
    <row r="112" spans="1:20" s="71" customFormat="1" ht="33.75" customHeight="1" x14ac:dyDescent="0.25">
      <c r="A112" s="1117" t="s">
        <v>100</v>
      </c>
      <c r="B112" s="1118"/>
      <c r="C112" s="410"/>
      <c r="D112" s="201">
        <f>$D$3*C112*10000</f>
        <v>0</v>
      </c>
      <c r="E112" s="1119"/>
      <c r="F112" s="1120"/>
      <c r="G112" s="1119"/>
      <c r="H112" s="1120"/>
      <c r="I112" s="1119"/>
      <c r="J112" s="1120"/>
      <c r="K112" s="1121" t="e">
        <f t="shared" si="8"/>
        <v>#DIV/0!</v>
      </c>
      <c r="L112" s="1121"/>
      <c r="M112" s="292">
        <v>1</v>
      </c>
      <c r="N112" s="200">
        <f t="shared" si="9"/>
        <v>0</v>
      </c>
      <c r="O112" s="1104"/>
      <c r="P112" s="1104"/>
      <c r="Q112" s="1104"/>
      <c r="R112" s="70"/>
      <c r="S112" s="70"/>
    </row>
    <row r="113" spans="1:20" s="71" customFormat="1" ht="33.75" customHeight="1" x14ac:dyDescent="0.25">
      <c r="A113" s="1117" t="s">
        <v>101</v>
      </c>
      <c r="B113" s="1118"/>
      <c r="C113" s="410"/>
      <c r="D113" s="201">
        <f>$D$3*C113*1000</f>
        <v>0</v>
      </c>
      <c r="E113" s="1119"/>
      <c r="F113" s="1120"/>
      <c r="G113" s="1119"/>
      <c r="H113" s="1120"/>
      <c r="I113" s="1119"/>
      <c r="J113" s="1120"/>
      <c r="K113" s="1121" t="e">
        <f t="shared" si="8"/>
        <v>#DIV/0!</v>
      </c>
      <c r="L113" s="1121"/>
      <c r="M113" s="292">
        <v>1</v>
      </c>
      <c r="N113" s="200">
        <f t="shared" si="9"/>
        <v>0</v>
      </c>
      <c r="O113" s="1104"/>
      <c r="P113" s="1104"/>
      <c r="Q113" s="1104"/>
      <c r="R113" s="70"/>
      <c r="S113" s="70"/>
    </row>
    <row r="114" spans="1:20" s="71" customFormat="1" ht="48.75" customHeight="1" x14ac:dyDescent="0.25">
      <c r="A114" s="1117" t="s">
        <v>518</v>
      </c>
      <c r="B114" s="1118"/>
      <c r="C114" s="410"/>
      <c r="D114" s="219" t="s">
        <v>517</v>
      </c>
      <c r="E114" s="1119"/>
      <c r="F114" s="1120"/>
      <c r="G114" s="1119"/>
      <c r="H114" s="1120"/>
      <c r="I114" s="1119"/>
      <c r="J114" s="1120"/>
      <c r="K114" s="1121" t="e">
        <f t="shared" si="8"/>
        <v>#DIV/0!</v>
      </c>
      <c r="L114" s="1121"/>
      <c r="M114" s="292"/>
      <c r="N114" s="200">
        <f t="shared" si="9"/>
        <v>0</v>
      </c>
      <c r="O114" s="1104"/>
      <c r="P114" s="1104"/>
      <c r="Q114" s="1104"/>
      <c r="R114" s="70"/>
      <c r="S114" s="70"/>
    </row>
    <row r="115" spans="1:20" s="71" customFormat="1" ht="48.75" customHeight="1" x14ac:dyDescent="0.25">
      <c r="A115" s="1117" t="s">
        <v>519</v>
      </c>
      <c r="B115" s="1118"/>
      <c r="C115" s="410"/>
      <c r="D115" s="219" t="s">
        <v>517</v>
      </c>
      <c r="E115" s="1119"/>
      <c r="F115" s="1120"/>
      <c r="G115" s="1119"/>
      <c r="H115" s="1120"/>
      <c r="I115" s="1119"/>
      <c r="J115" s="1120"/>
      <c r="K115" s="1121" t="e">
        <f t="shared" si="8"/>
        <v>#DIV/0!</v>
      </c>
      <c r="L115" s="1121"/>
      <c r="M115" s="292">
        <v>1</v>
      </c>
      <c r="N115" s="200">
        <f t="shared" si="9"/>
        <v>0</v>
      </c>
      <c r="O115" s="1104"/>
      <c r="P115" s="1104"/>
      <c r="Q115" s="1104"/>
      <c r="R115" s="70"/>
      <c r="S115" s="70"/>
    </row>
    <row r="116" spans="1:20" s="71" customFormat="1" ht="48.75" customHeight="1" x14ac:dyDescent="0.25">
      <c r="A116" s="1117" t="s">
        <v>197</v>
      </c>
      <c r="B116" s="1118"/>
      <c r="C116" s="410"/>
      <c r="D116" s="219" t="s">
        <v>517</v>
      </c>
      <c r="E116" s="1119"/>
      <c r="F116" s="1120"/>
      <c r="G116" s="1119"/>
      <c r="H116" s="1120"/>
      <c r="I116" s="1119"/>
      <c r="J116" s="1120"/>
      <c r="K116" s="1121" t="e">
        <f t="shared" si="8"/>
        <v>#DIV/0!</v>
      </c>
      <c r="L116" s="1121"/>
      <c r="M116" s="292">
        <v>1</v>
      </c>
      <c r="N116" s="200">
        <f t="shared" si="9"/>
        <v>0</v>
      </c>
      <c r="O116" s="1104"/>
      <c r="P116" s="1104"/>
      <c r="Q116" s="1104"/>
      <c r="R116" s="70"/>
      <c r="S116" s="70"/>
    </row>
    <row r="117" spans="1:20" s="71" customFormat="1" ht="48.75" customHeight="1" x14ac:dyDescent="0.25">
      <c r="A117" s="1117" t="s">
        <v>520</v>
      </c>
      <c r="B117" s="1118"/>
      <c r="C117" s="410"/>
      <c r="D117" s="219" t="s">
        <v>517</v>
      </c>
      <c r="E117" s="1119"/>
      <c r="F117" s="1120"/>
      <c r="G117" s="1119"/>
      <c r="H117" s="1120"/>
      <c r="I117" s="1119"/>
      <c r="J117" s="1120"/>
      <c r="K117" s="1121" t="e">
        <f t="shared" si="8"/>
        <v>#DIV/0!</v>
      </c>
      <c r="L117" s="1121"/>
      <c r="M117" s="292">
        <v>1</v>
      </c>
      <c r="N117" s="200">
        <f t="shared" si="9"/>
        <v>0</v>
      </c>
      <c r="O117" s="1104"/>
      <c r="P117" s="1104"/>
      <c r="Q117" s="1104"/>
      <c r="R117" s="70"/>
      <c r="S117" s="70"/>
    </row>
    <row r="118" spans="1:20" s="71" customFormat="1" ht="33.75" customHeight="1" x14ac:dyDescent="0.25">
      <c r="A118" s="1118" t="s">
        <v>521</v>
      </c>
      <c r="B118" s="1118"/>
      <c r="C118" s="410"/>
      <c r="D118" s="201"/>
      <c r="E118" s="1126"/>
      <c r="F118" s="1126"/>
      <c r="G118" s="1126"/>
      <c r="H118" s="1126"/>
      <c r="I118" s="1126"/>
      <c r="J118" s="1126"/>
      <c r="K118" s="1121" t="e">
        <f t="shared" si="8"/>
        <v>#DIV/0!</v>
      </c>
      <c r="L118" s="1121"/>
      <c r="M118" s="292"/>
      <c r="N118" s="200">
        <f t="shared" si="9"/>
        <v>0</v>
      </c>
      <c r="O118" s="1104"/>
      <c r="P118" s="1104"/>
      <c r="Q118" s="1104"/>
      <c r="R118" s="70"/>
      <c r="S118" s="70"/>
    </row>
    <row r="119" spans="1:20" s="71" customFormat="1" ht="33.75" customHeight="1" x14ac:dyDescent="0.25">
      <c r="A119" s="1127" t="s">
        <v>522</v>
      </c>
      <c r="B119" s="1127"/>
      <c r="C119" s="293"/>
      <c r="D119" s="294">
        <f>SUM(D105:D118)</f>
        <v>0</v>
      </c>
      <c r="E119" s="1128">
        <f t="shared" ref="E119:J119" si="10">SUM(E105:E118)</f>
        <v>0</v>
      </c>
      <c r="F119" s="1129">
        <f t="shared" si="10"/>
        <v>0</v>
      </c>
      <c r="G119" s="1128">
        <f t="shared" si="10"/>
        <v>0</v>
      </c>
      <c r="H119" s="1129">
        <f t="shared" si="10"/>
        <v>0</v>
      </c>
      <c r="I119" s="1128">
        <f t="shared" si="10"/>
        <v>0</v>
      </c>
      <c r="J119" s="1129">
        <f t="shared" si="10"/>
        <v>0</v>
      </c>
      <c r="K119" s="1130" t="e">
        <f>E119/G119</f>
        <v>#DIV/0!</v>
      </c>
      <c r="L119" s="1130"/>
      <c r="M119" s="295" t="e">
        <f>N119/I119</f>
        <v>#DIV/0!</v>
      </c>
      <c r="N119" s="296">
        <f>SUM(N105:N118)</f>
        <v>0</v>
      </c>
      <c r="O119" s="1104"/>
      <c r="P119" s="1104"/>
      <c r="Q119" s="1104"/>
      <c r="R119" s="70"/>
      <c r="S119" s="70"/>
    </row>
    <row r="120" spans="1:20" s="71" customFormat="1" ht="23.25" customHeight="1" x14ac:dyDescent="0.25">
      <c r="A120" s="1122" t="s">
        <v>523</v>
      </c>
      <c r="B120" s="1123"/>
      <c r="C120" s="1123"/>
      <c r="D120" s="1123"/>
      <c r="E120" s="1123"/>
      <c r="F120" s="1123"/>
      <c r="G120" s="1123"/>
      <c r="H120" s="1123"/>
      <c r="I120" s="1123"/>
      <c r="J120" s="1123"/>
      <c r="K120" s="1123"/>
      <c r="L120" s="1123"/>
      <c r="M120" s="1123"/>
      <c r="N120" s="1124"/>
      <c r="O120" s="1104"/>
      <c r="P120" s="1104"/>
      <c r="Q120" s="1104"/>
      <c r="R120" s="70"/>
      <c r="S120" s="70"/>
    </row>
    <row r="121" spans="1:20" s="188" customFormat="1" ht="39" customHeight="1" x14ac:dyDescent="0.25">
      <c r="A121" s="1117" t="s">
        <v>94</v>
      </c>
      <c r="B121" s="1118"/>
      <c r="C121" s="1133"/>
      <c r="D121" s="1115">
        <f>$D$3*C121*45000</f>
        <v>0</v>
      </c>
      <c r="E121" s="1134"/>
      <c r="F121" s="1135"/>
      <c r="G121" s="1134"/>
      <c r="H121" s="1135"/>
      <c r="I121" s="1134"/>
      <c r="J121" s="1135"/>
      <c r="K121" s="1132" t="e">
        <f>E121/G121</f>
        <v>#DIV/0!</v>
      </c>
      <c r="L121" s="1132"/>
      <c r="M121" s="1132" t="e">
        <f>N121/I121</f>
        <v>#DIV/0!</v>
      </c>
      <c r="N121" s="1029"/>
      <c r="O121" s="1104"/>
      <c r="P121" s="1104"/>
      <c r="Q121" s="1104"/>
      <c r="R121" s="72"/>
      <c r="S121" s="72"/>
    </row>
    <row r="122" spans="1:20" s="188" customFormat="1" ht="21" customHeight="1" x14ac:dyDescent="0.25">
      <c r="A122" s="1117"/>
      <c r="B122" s="1118"/>
      <c r="C122" s="1133"/>
      <c r="D122" s="1115"/>
      <c r="E122" s="1136"/>
      <c r="F122" s="1137"/>
      <c r="G122" s="1136"/>
      <c r="H122" s="1137"/>
      <c r="I122" s="1136"/>
      <c r="J122" s="1137"/>
      <c r="K122" s="1132"/>
      <c r="L122" s="1132"/>
      <c r="M122" s="1132"/>
      <c r="N122" s="1029"/>
      <c r="O122" s="1104"/>
      <c r="P122" s="1104"/>
      <c r="Q122" s="1104"/>
      <c r="R122" s="72"/>
      <c r="S122" s="72"/>
    </row>
    <row r="123" spans="1:20" ht="28.5" customHeight="1" x14ac:dyDescent="0.25">
      <c r="A123" s="1033" t="s">
        <v>95</v>
      </c>
      <c r="B123" s="1131"/>
      <c r="C123" s="411"/>
      <c r="D123" s="201">
        <f>$D$3*C123*2000</f>
        <v>0</v>
      </c>
      <c r="E123" s="1035"/>
      <c r="F123" s="1036"/>
      <c r="G123" s="1035"/>
      <c r="H123" s="1036"/>
      <c r="I123" s="1035"/>
      <c r="J123" s="1036"/>
      <c r="K123" s="1132" t="e">
        <f>E123/G123</f>
        <v>#DIV/0!</v>
      </c>
      <c r="L123" s="1132"/>
      <c r="M123" s="413" t="e">
        <f>N123/I123</f>
        <v>#DIV/0!</v>
      </c>
      <c r="N123" s="407"/>
      <c r="O123" s="1104"/>
      <c r="P123" s="1104"/>
      <c r="Q123" s="1104"/>
      <c r="T123" s="6"/>
    </row>
    <row r="124" spans="1:20" ht="28.5" customHeight="1" x14ac:dyDescent="0.25">
      <c r="A124" s="1033" t="s">
        <v>96</v>
      </c>
      <c r="B124" s="1034"/>
      <c r="C124" s="411"/>
      <c r="D124" s="201">
        <f>$D$3*C124*5000</f>
        <v>0</v>
      </c>
      <c r="E124" s="1035"/>
      <c r="F124" s="1036"/>
      <c r="G124" s="1035"/>
      <c r="H124" s="1036"/>
      <c r="I124" s="1035"/>
      <c r="J124" s="1036"/>
      <c r="K124" s="1132" t="e">
        <f t="shared" ref="K124:K131" si="11">E124/G124</f>
        <v>#DIV/0!</v>
      </c>
      <c r="L124" s="1132"/>
      <c r="M124" s="413" t="e">
        <f t="shared" ref="M124:M131" si="12">N124/I124</f>
        <v>#DIV/0!</v>
      </c>
      <c r="N124" s="407"/>
      <c r="O124" s="1104"/>
      <c r="P124" s="1104"/>
      <c r="Q124" s="1104"/>
      <c r="T124" s="6"/>
    </row>
    <row r="125" spans="1:20" ht="28.5" customHeight="1" x14ac:dyDescent="0.25">
      <c r="A125" s="1033" t="s">
        <v>97</v>
      </c>
      <c r="B125" s="1034"/>
      <c r="C125" s="411"/>
      <c r="D125" s="201">
        <f>$D$3*C125*92000</f>
        <v>0</v>
      </c>
      <c r="E125" s="1035"/>
      <c r="F125" s="1036"/>
      <c r="G125" s="1035"/>
      <c r="H125" s="1036"/>
      <c r="I125" s="1035"/>
      <c r="J125" s="1036"/>
      <c r="K125" s="1132" t="e">
        <f t="shared" si="11"/>
        <v>#DIV/0!</v>
      </c>
      <c r="L125" s="1132"/>
      <c r="M125" s="413" t="e">
        <f t="shared" si="12"/>
        <v>#DIV/0!</v>
      </c>
      <c r="N125" s="407"/>
      <c r="O125" s="1104"/>
      <c r="P125" s="1104"/>
      <c r="Q125" s="1104"/>
      <c r="T125" s="6"/>
    </row>
    <row r="126" spans="1:20" ht="28.5" customHeight="1" x14ac:dyDescent="0.25">
      <c r="A126" s="1033" t="s">
        <v>98</v>
      </c>
      <c r="B126" s="1131"/>
      <c r="C126" s="411"/>
      <c r="D126" s="201">
        <f>$D$3*C126*45000</f>
        <v>0</v>
      </c>
      <c r="E126" s="1035"/>
      <c r="F126" s="1036"/>
      <c r="G126" s="1035"/>
      <c r="H126" s="1036"/>
      <c r="I126" s="1035"/>
      <c r="J126" s="1036"/>
      <c r="K126" s="1132" t="e">
        <f t="shared" si="11"/>
        <v>#DIV/0!</v>
      </c>
      <c r="L126" s="1132"/>
      <c r="M126" s="413" t="e">
        <f t="shared" si="12"/>
        <v>#DIV/0!</v>
      </c>
      <c r="N126" s="407"/>
      <c r="O126" s="1104"/>
      <c r="P126" s="1104"/>
      <c r="Q126" s="1104"/>
      <c r="T126" s="6"/>
    </row>
    <row r="127" spans="1:20" ht="28.5" customHeight="1" x14ac:dyDescent="0.25">
      <c r="A127" s="1033" t="s">
        <v>99</v>
      </c>
      <c r="B127" s="1131"/>
      <c r="C127" s="411"/>
      <c r="D127" s="201">
        <f>$D$3*C127*681000+$D$3*C127*45000</f>
        <v>0</v>
      </c>
      <c r="E127" s="1035"/>
      <c r="F127" s="1036"/>
      <c r="G127" s="1035"/>
      <c r="H127" s="1036"/>
      <c r="I127" s="1035"/>
      <c r="J127" s="1036"/>
      <c r="K127" s="1132" t="e">
        <f t="shared" si="11"/>
        <v>#DIV/0!</v>
      </c>
      <c r="L127" s="1132"/>
      <c r="M127" s="413" t="e">
        <f t="shared" si="12"/>
        <v>#DIV/0!</v>
      </c>
      <c r="N127" s="407"/>
      <c r="O127" s="1104"/>
      <c r="P127" s="1104"/>
      <c r="Q127" s="1104"/>
      <c r="T127" s="6"/>
    </row>
    <row r="128" spans="1:20" ht="28.5" customHeight="1" x14ac:dyDescent="0.25">
      <c r="A128" s="1033" t="s">
        <v>100</v>
      </c>
      <c r="B128" s="1131"/>
      <c r="C128" s="411"/>
      <c r="D128" s="201">
        <f>$D$3*C128*10000</f>
        <v>0</v>
      </c>
      <c r="E128" s="1035"/>
      <c r="F128" s="1036"/>
      <c r="G128" s="1035"/>
      <c r="H128" s="1036"/>
      <c r="I128" s="1035"/>
      <c r="J128" s="1036"/>
      <c r="K128" s="1132" t="e">
        <f t="shared" si="11"/>
        <v>#DIV/0!</v>
      </c>
      <c r="L128" s="1132"/>
      <c r="M128" s="413" t="e">
        <f t="shared" si="12"/>
        <v>#DIV/0!</v>
      </c>
      <c r="N128" s="407"/>
      <c r="O128" s="1104"/>
      <c r="P128" s="1104"/>
      <c r="Q128" s="1104"/>
      <c r="T128" s="6"/>
    </row>
    <row r="129" spans="1:20" ht="28.5" customHeight="1" x14ac:dyDescent="0.25">
      <c r="A129" s="1144" t="s">
        <v>101</v>
      </c>
      <c r="B129" s="1145"/>
      <c r="C129" s="411"/>
      <c r="D129" s="201">
        <f>$D$3*C129*1000</f>
        <v>0</v>
      </c>
      <c r="E129" s="1035"/>
      <c r="F129" s="1036"/>
      <c r="G129" s="1035"/>
      <c r="H129" s="1036"/>
      <c r="I129" s="1035"/>
      <c r="J129" s="1036"/>
      <c r="K129" s="1132" t="e">
        <f t="shared" si="11"/>
        <v>#DIV/0!</v>
      </c>
      <c r="L129" s="1132"/>
      <c r="M129" s="413" t="e">
        <f t="shared" si="12"/>
        <v>#DIV/0!</v>
      </c>
      <c r="N129" s="407"/>
      <c r="O129" s="1104"/>
      <c r="P129" s="1104"/>
      <c r="Q129" s="1104"/>
      <c r="T129" s="6"/>
    </row>
    <row r="130" spans="1:20" ht="28.5" customHeight="1" x14ac:dyDescent="0.25">
      <c r="A130" s="1144" t="s">
        <v>521</v>
      </c>
      <c r="B130" s="1145"/>
      <c r="C130" s="411"/>
      <c r="D130" s="297"/>
      <c r="E130" s="1035"/>
      <c r="F130" s="1036"/>
      <c r="G130" s="1035"/>
      <c r="H130" s="1036"/>
      <c r="I130" s="1035"/>
      <c r="J130" s="1036"/>
      <c r="K130" s="1132" t="e">
        <f t="shared" si="11"/>
        <v>#DIV/0!</v>
      </c>
      <c r="L130" s="1132"/>
      <c r="M130" s="413" t="e">
        <f t="shared" si="12"/>
        <v>#DIV/0!</v>
      </c>
      <c r="N130" s="407"/>
      <c r="O130" s="1104"/>
      <c r="P130" s="1104"/>
      <c r="Q130" s="1104"/>
      <c r="T130" s="6"/>
    </row>
    <row r="131" spans="1:20" ht="28.5" customHeight="1" x14ac:dyDescent="0.25">
      <c r="A131" s="1138" t="s">
        <v>521</v>
      </c>
      <c r="B131" s="1139"/>
      <c r="C131" s="412"/>
      <c r="D131" s="298"/>
      <c r="E131" s="1134"/>
      <c r="F131" s="1135"/>
      <c r="G131" s="1134"/>
      <c r="H131" s="1135"/>
      <c r="I131" s="1134"/>
      <c r="J131" s="1135"/>
      <c r="K131" s="1140" t="e">
        <f t="shared" si="11"/>
        <v>#DIV/0!</v>
      </c>
      <c r="L131" s="1140"/>
      <c r="M131" s="414" t="e">
        <f t="shared" si="12"/>
        <v>#DIV/0!</v>
      </c>
      <c r="N131" s="408"/>
      <c r="O131" s="1104"/>
      <c r="P131" s="1104"/>
      <c r="Q131" s="1104"/>
      <c r="T131" s="6"/>
    </row>
    <row r="132" spans="1:20" s="74" customFormat="1" ht="24" customHeight="1" thickBot="1" x14ac:dyDescent="0.3">
      <c r="A132" s="1141" t="s">
        <v>524</v>
      </c>
      <c r="B132" s="1141"/>
      <c r="C132" s="299"/>
      <c r="D132" s="300">
        <f>SUM(D121:D131)</f>
        <v>0</v>
      </c>
      <c r="E132" s="1142">
        <f>SUM(E121:F129)</f>
        <v>0</v>
      </c>
      <c r="F132" s="1142"/>
      <c r="G132" s="1142">
        <f>SUM(G121:H129)</f>
        <v>0</v>
      </c>
      <c r="H132" s="1142"/>
      <c r="I132" s="1142">
        <f>SUM(I121:J129)</f>
        <v>0</v>
      </c>
      <c r="J132" s="1142"/>
      <c r="K132" s="1143" t="e">
        <f>E132/G132</f>
        <v>#DIV/0!</v>
      </c>
      <c r="L132" s="1143"/>
      <c r="M132" s="301" t="e">
        <f>N132/I132</f>
        <v>#DIV/0!</v>
      </c>
      <c r="N132" s="302">
        <f>SUM(N121:N129)</f>
        <v>0</v>
      </c>
      <c r="O132" s="1104"/>
      <c r="P132" s="1104"/>
      <c r="Q132" s="1104"/>
      <c r="R132" s="73"/>
      <c r="S132" s="73"/>
    </row>
    <row r="133" spans="1:20" s="307" customFormat="1" ht="24" customHeight="1" thickBot="1" x14ac:dyDescent="0.3">
      <c r="A133" s="1159" t="s">
        <v>2</v>
      </c>
      <c r="B133" s="1160"/>
      <c r="C133" s="1160"/>
      <c r="D133" s="303">
        <f>SUM(D119,D132)</f>
        <v>0</v>
      </c>
      <c r="E133" s="1161">
        <f>SUM(E119,E132)</f>
        <v>0</v>
      </c>
      <c r="F133" s="1161"/>
      <c r="G133" s="1161">
        <f>SUM(G119,G132)</f>
        <v>0</v>
      </c>
      <c r="H133" s="1161"/>
      <c r="I133" s="1161">
        <f>SUM(I119,I132)</f>
        <v>0</v>
      </c>
      <c r="J133" s="1161"/>
      <c r="K133" s="1162" t="e">
        <f>E133/G133</f>
        <v>#DIV/0!</v>
      </c>
      <c r="L133" s="1162"/>
      <c r="M133" s="304" t="e">
        <f>N133/I133</f>
        <v>#DIV/0!</v>
      </c>
      <c r="N133" s="305">
        <f>SUM(N119,N132)</f>
        <v>0</v>
      </c>
      <c r="O133" s="1104"/>
      <c r="P133" s="1104"/>
      <c r="Q133" s="1104"/>
      <c r="R133" s="306"/>
      <c r="S133" s="306"/>
    </row>
    <row r="134" spans="1:20" ht="15.75" thickBot="1" x14ac:dyDescent="0.3"/>
    <row r="135" spans="1:20" ht="18" x14ac:dyDescent="0.25">
      <c r="A135" s="1163" t="s">
        <v>8</v>
      </c>
      <c r="B135" s="1164"/>
      <c r="C135" s="1164"/>
      <c r="D135" s="1164"/>
      <c r="E135" s="1164"/>
      <c r="F135" s="1164"/>
      <c r="G135" s="1164"/>
      <c r="H135" s="1164"/>
      <c r="I135" s="1164"/>
      <c r="J135" s="1165"/>
      <c r="K135" s="1125" t="s">
        <v>39</v>
      </c>
      <c r="L135" s="1125"/>
      <c r="M135" s="1125"/>
      <c r="N135" s="1125"/>
      <c r="O135" s="1154" t="s">
        <v>40</v>
      </c>
      <c r="P135" s="1155"/>
      <c r="Q135" s="1156"/>
      <c r="R135" s="6"/>
      <c r="S135" s="6"/>
      <c r="T135" s="6"/>
    </row>
    <row r="136" spans="1:20" s="9" customFormat="1" ht="15" customHeight="1" x14ac:dyDescent="0.25">
      <c r="A136" s="75"/>
      <c r="B136" s="76"/>
      <c r="C136" s="77"/>
      <c r="D136" s="77"/>
      <c r="E136" s="78"/>
      <c r="F136" s="77"/>
      <c r="G136" s="77"/>
      <c r="H136" s="77"/>
      <c r="I136" s="78"/>
      <c r="J136" s="78"/>
      <c r="K136" s="1157" t="s">
        <v>72</v>
      </c>
      <c r="L136" s="1157"/>
      <c r="M136" s="978" t="s">
        <v>42</v>
      </c>
      <c r="N136" s="978"/>
      <c r="O136" s="1043"/>
      <c r="P136" s="1044"/>
      <c r="Q136" s="1045"/>
    </row>
    <row r="137" spans="1:20" s="9" customFormat="1" ht="47.25" customHeight="1" x14ac:dyDescent="0.25">
      <c r="A137" s="308" t="s">
        <v>525</v>
      </c>
      <c r="B137" s="199" t="s">
        <v>73</v>
      </c>
      <c r="C137" s="1157" t="s">
        <v>74</v>
      </c>
      <c r="D137" s="1157"/>
      <c r="E137" s="1157" t="s">
        <v>102</v>
      </c>
      <c r="F137" s="1157"/>
      <c r="G137" s="1157"/>
      <c r="H137" s="384" t="s">
        <v>600</v>
      </c>
      <c r="I137" s="385" t="s">
        <v>601</v>
      </c>
      <c r="J137" s="382" t="s">
        <v>76</v>
      </c>
      <c r="K137" s="1157"/>
      <c r="L137" s="1157"/>
      <c r="M137" s="189" t="s">
        <v>49</v>
      </c>
      <c r="N137" s="309" t="s">
        <v>50</v>
      </c>
      <c r="O137" s="1046"/>
      <c r="P137" s="1047"/>
      <c r="Q137" s="1048"/>
    </row>
    <row r="138" spans="1:20" s="80" customFormat="1" ht="15.75" x14ac:dyDescent="0.25">
      <c r="A138" s="310" t="s">
        <v>225</v>
      </c>
      <c r="B138" s="311" t="e">
        <f>[1]Sheet1!A103</f>
        <v>#REF!</v>
      </c>
      <c r="C138" s="1158"/>
      <c r="D138" s="1158"/>
      <c r="E138" s="1158"/>
      <c r="F138" s="1158"/>
      <c r="G138" s="1158"/>
      <c r="H138" s="415"/>
      <c r="I138" s="416"/>
      <c r="J138" s="417"/>
      <c r="K138" s="1146" t="e">
        <f>C138/E138</f>
        <v>#DIV/0!</v>
      </c>
      <c r="L138" s="1146"/>
      <c r="M138" s="418" t="e">
        <f>N138/J138</f>
        <v>#DIV/0!</v>
      </c>
      <c r="N138" s="419"/>
      <c r="O138" s="1046"/>
      <c r="P138" s="1047"/>
      <c r="Q138" s="1048"/>
    </row>
    <row r="139" spans="1:20" s="80" customFormat="1" ht="16.5" thickBot="1" x14ac:dyDescent="0.3">
      <c r="A139" s="312" t="s">
        <v>24</v>
      </c>
      <c r="B139" s="313">
        <f>$D$3*(H9/10)*21000</f>
        <v>0</v>
      </c>
      <c r="C139" s="1147"/>
      <c r="D139" s="1147"/>
      <c r="E139" s="1147"/>
      <c r="F139" s="1147"/>
      <c r="G139" s="1147"/>
      <c r="H139" s="416"/>
      <c r="I139" s="416"/>
      <c r="J139" s="420"/>
      <c r="K139" s="1148" t="e">
        <f>C139/E139</f>
        <v>#DIV/0!</v>
      </c>
      <c r="L139" s="1148"/>
      <c r="M139" s="421">
        <v>1</v>
      </c>
      <c r="N139" s="422"/>
      <c r="O139" s="1046"/>
      <c r="P139" s="1047"/>
      <c r="Q139" s="1048"/>
    </row>
    <row r="140" spans="1:20" s="80" customFormat="1" ht="16.5" thickBot="1" x14ac:dyDescent="0.3">
      <c r="A140" s="314" t="s">
        <v>2</v>
      </c>
      <c r="B140" s="97" t="e">
        <f>SUM(B138:B139)</f>
        <v>#REF!</v>
      </c>
      <c r="C140" s="1149">
        <f>SUM(C138:D139)</f>
        <v>0</v>
      </c>
      <c r="D140" s="1149"/>
      <c r="E140" s="1150">
        <f>SUM(E138:F139)</f>
        <v>0</v>
      </c>
      <c r="F140" s="1151"/>
      <c r="G140" s="1152">
        <f>SUM(G138:J139)</f>
        <v>0</v>
      </c>
      <c r="H140" s="383"/>
      <c r="I140" s="383"/>
      <c r="J140" s="383">
        <f>SUM(H138:I139)</f>
        <v>0</v>
      </c>
      <c r="K140" s="1153" t="e">
        <f>C140/E140</f>
        <v>#DIV/0!</v>
      </c>
      <c r="L140" s="1153"/>
      <c r="M140" s="315" t="e">
        <f>N140/J140</f>
        <v>#DIV/0!</v>
      </c>
      <c r="N140" s="79"/>
      <c r="O140" s="1049"/>
      <c r="P140" s="1049"/>
      <c r="Q140" s="1050"/>
    </row>
    <row r="141" spans="1:20" s="87" customFormat="1" ht="16.5" thickBot="1" x14ac:dyDescent="0.3">
      <c r="A141" s="81"/>
      <c r="B141" s="82"/>
      <c r="C141" s="82"/>
      <c r="D141" s="82"/>
      <c r="E141" s="82"/>
      <c r="F141" s="83"/>
      <c r="G141" s="83"/>
      <c r="H141" s="84"/>
      <c r="I141" s="84"/>
      <c r="J141" s="85"/>
      <c r="K141" s="86"/>
      <c r="L141" s="34"/>
      <c r="M141" s="34"/>
      <c r="N141" s="34"/>
      <c r="O141" s="34"/>
    </row>
    <row r="142" spans="1:20" ht="18" x14ac:dyDescent="0.25">
      <c r="A142" s="1172" t="s">
        <v>526</v>
      </c>
      <c r="B142" s="1173"/>
      <c r="C142" s="1173"/>
      <c r="D142" s="1164"/>
      <c r="E142" s="1173"/>
      <c r="F142" s="1173"/>
      <c r="G142" s="1173"/>
      <c r="H142" s="1173"/>
      <c r="I142" s="1173"/>
      <c r="J142" s="1174"/>
      <c r="K142" s="1175" t="s">
        <v>39</v>
      </c>
      <c r="L142" s="1176"/>
      <c r="M142" s="1176"/>
      <c r="N142" s="1177" t="s">
        <v>40</v>
      </c>
      <c r="O142" s="1178"/>
      <c r="P142" s="1178"/>
      <c r="Q142" s="1179"/>
      <c r="R142" s="6"/>
      <c r="S142" s="6"/>
    </row>
    <row r="143" spans="1:20" ht="15" customHeight="1" x14ac:dyDescent="0.25">
      <c r="A143" s="316"/>
      <c r="B143" s="88"/>
      <c r="C143" s="88"/>
      <c r="D143" s="89"/>
      <c r="E143" s="88"/>
      <c r="F143" s="88"/>
      <c r="G143" s="88"/>
      <c r="H143" s="88"/>
      <c r="I143" s="88"/>
      <c r="J143" s="90"/>
      <c r="K143" s="1180" t="s">
        <v>72</v>
      </c>
      <c r="L143" s="978" t="s">
        <v>42</v>
      </c>
      <c r="M143" s="1182"/>
      <c r="N143" s="1183"/>
      <c r="O143" s="1184"/>
      <c r="P143" s="1184"/>
      <c r="Q143" s="1185"/>
      <c r="S143" s="6"/>
      <c r="T143" s="6"/>
    </row>
    <row r="144" spans="1:20" s="14" customFormat="1" ht="63" customHeight="1" x14ac:dyDescent="0.25">
      <c r="A144" s="91" t="s">
        <v>103</v>
      </c>
      <c r="B144" s="206" t="s">
        <v>104</v>
      </c>
      <c r="C144" s="206" t="s">
        <v>105</v>
      </c>
      <c r="D144" s="317" t="s">
        <v>507</v>
      </c>
      <c r="E144" s="1192" t="s">
        <v>106</v>
      </c>
      <c r="F144" s="1192"/>
      <c r="G144" s="1193" t="s">
        <v>75</v>
      </c>
      <c r="H144" s="1192"/>
      <c r="I144" s="1192" t="s">
        <v>76</v>
      </c>
      <c r="J144" s="1194"/>
      <c r="K144" s="1181"/>
      <c r="L144" s="189" t="s">
        <v>49</v>
      </c>
      <c r="M144" s="205" t="s">
        <v>50</v>
      </c>
      <c r="N144" s="1186"/>
      <c r="O144" s="1187"/>
      <c r="P144" s="1187"/>
      <c r="Q144" s="1188"/>
      <c r="R144" s="15"/>
    </row>
    <row r="145" spans="1:20" s="14" customFormat="1" ht="18" customHeight="1" x14ac:dyDescent="0.25">
      <c r="A145" s="255" t="s">
        <v>527</v>
      </c>
      <c r="B145" s="427">
        <v>0</v>
      </c>
      <c r="C145" s="411">
        <v>0</v>
      </c>
      <c r="D145" s="23">
        <f>$D$3*C145*210000</f>
        <v>0</v>
      </c>
      <c r="E145" s="1035"/>
      <c r="F145" s="1036"/>
      <c r="G145" s="1166"/>
      <c r="H145" s="1167"/>
      <c r="I145" s="1166">
        <v>0</v>
      </c>
      <c r="J145" s="1168"/>
      <c r="K145" s="92" t="e">
        <f>E145/G145</f>
        <v>#DIV/0!</v>
      </c>
      <c r="L145" s="318">
        <v>1</v>
      </c>
      <c r="M145" s="297">
        <f>L145*I145</f>
        <v>0</v>
      </c>
      <c r="N145" s="1186"/>
      <c r="O145" s="1187"/>
      <c r="P145" s="1187"/>
      <c r="Q145" s="1188"/>
      <c r="R145" s="15"/>
    </row>
    <row r="146" spans="1:20" s="14" customFormat="1" ht="18" customHeight="1" x14ac:dyDescent="0.25">
      <c r="A146" s="255" t="s">
        <v>528</v>
      </c>
      <c r="B146" s="427">
        <v>0</v>
      </c>
      <c r="C146" s="411">
        <v>0</v>
      </c>
      <c r="D146" s="23">
        <f>$D$3*C146*210000</f>
        <v>0</v>
      </c>
      <c r="E146" s="1035"/>
      <c r="F146" s="1036"/>
      <c r="G146" s="1166"/>
      <c r="H146" s="1167"/>
      <c r="I146" s="1166"/>
      <c r="J146" s="1168"/>
      <c r="K146" s="92" t="e">
        <f>E146/G146</f>
        <v>#DIV/0!</v>
      </c>
      <c r="L146" s="318"/>
      <c r="M146" s="297">
        <f>L146*I146</f>
        <v>0</v>
      </c>
      <c r="N146" s="1186"/>
      <c r="O146" s="1187"/>
      <c r="P146" s="1187"/>
      <c r="Q146" s="1188"/>
      <c r="R146" s="15"/>
    </row>
    <row r="147" spans="1:20" x14ac:dyDescent="0.25">
      <c r="A147" s="255" t="s">
        <v>107</v>
      </c>
      <c r="B147" s="427">
        <v>0</v>
      </c>
      <c r="C147" s="411">
        <v>0</v>
      </c>
      <c r="D147" s="23">
        <f>$D$3*C147*210000</f>
        <v>0</v>
      </c>
      <c r="E147" s="1035">
        <v>0</v>
      </c>
      <c r="F147" s="1036" t="e">
        <f>SUM(#REF!)</f>
        <v>#REF!</v>
      </c>
      <c r="G147" s="1166">
        <v>0</v>
      </c>
      <c r="H147" s="1167" t="e">
        <f>SUM(#REF!)</f>
        <v>#REF!</v>
      </c>
      <c r="I147" s="1166">
        <v>0</v>
      </c>
      <c r="J147" s="1168" t="e">
        <f>SUM(#REF!)</f>
        <v>#REF!</v>
      </c>
      <c r="K147" s="92" t="e">
        <f>E147/G147</f>
        <v>#DIV/0!</v>
      </c>
      <c r="L147" s="319" t="e">
        <f>M147/I147</f>
        <v>#REF!</v>
      </c>
      <c r="M147" s="297" t="e">
        <f>SUM(#REF!)</f>
        <v>#REF!</v>
      </c>
      <c r="N147" s="1186"/>
      <c r="O147" s="1187"/>
      <c r="P147" s="1187"/>
      <c r="Q147" s="1188"/>
      <c r="S147" s="6"/>
      <c r="T147" s="6"/>
    </row>
    <row r="148" spans="1:20" x14ac:dyDescent="0.25">
      <c r="A148" s="320" t="s">
        <v>108</v>
      </c>
      <c r="B148" s="428">
        <f>(D56+E56)</f>
        <v>0</v>
      </c>
      <c r="C148" s="411">
        <v>0</v>
      </c>
      <c r="D148" s="269">
        <f>$D$3*C148*50000</f>
        <v>0</v>
      </c>
      <c r="E148" s="1035">
        <v>0</v>
      </c>
      <c r="F148" s="1036" t="e">
        <f>SUM(#REF!)</f>
        <v>#REF!</v>
      </c>
      <c r="G148" s="1166">
        <v>0</v>
      </c>
      <c r="H148" s="1167" t="e">
        <f>SUM(#REF!)</f>
        <v>#REF!</v>
      </c>
      <c r="I148" s="1166">
        <v>0</v>
      </c>
      <c r="J148" s="1168" t="e">
        <f>SUM(#REF!)</f>
        <v>#REF!</v>
      </c>
      <c r="K148" s="92" t="e">
        <f t="shared" ref="K148:K154" si="13">E148/G148</f>
        <v>#DIV/0!</v>
      </c>
      <c r="L148" s="94" t="e">
        <f t="shared" ref="L148:L154" si="14">M148/I148</f>
        <v>#REF!</v>
      </c>
      <c r="M148" s="95" t="e">
        <f>SUM(#REF!)</f>
        <v>#REF!</v>
      </c>
      <c r="N148" s="1186"/>
      <c r="O148" s="1187"/>
      <c r="P148" s="1187"/>
      <c r="Q148" s="1188"/>
      <c r="S148" s="6"/>
      <c r="T148" s="6"/>
    </row>
    <row r="149" spans="1:20" x14ac:dyDescent="0.25">
      <c r="A149" s="321" t="s">
        <v>109</v>
      </c>
      <c r="B149" s="322">
        <f>B150+B151</f>
        <v>0</v>
      </c>
      <c r="C149" s="322">
        <f>C150+C151</f>
        <v>0</v>
      </c>
      <c r="D149" s="323">
        <f t="shared" ref="D149:J149" si="15">D150+D151</f>
        <v>0</v>
      </c>
      <c r="E149" s="1169">
        <f t="shared" si="15"/>
        <v>0</v>
      </c>
      <c r="F149" s="1170" t="e">
        <f t="shared" si="15"/>
        <v>#REF!</v>
      </c>
      <c r="G149" s="1169">
        <f t="shared" si="15"/>
        <v>0</v>
      </c>
      <c r="H149" s="1170" t="e">
        <f t="shared" si="15"/>
        <v>#REF!</v>
      </c>
      <c r="I149" s="1169">
        <f t="shared" si="15"/>
        <v>0</v>
      </c>
      <c r="J149" s="1171" t="e">
        <f t="shared" si="15"/>
        <v>#REF!</v>
      </c>
      <c r="K149" s="324" t="e">
        <f t="shared" si="13"/>
        <v>#DIV/0!</v>
      </c>
      <c r="L149" s="325" t="e">
        <f t="shared" si="14"/>
        <v>#REF!</v>
      </c>
      <c r="M149" s="326" t="e">
        <f>SUM(M150:M151)</f>
        <v>#REF!</v>
      </c>
      <c r="N149" s="1186"/>
      <c r="O149" s="1187"/>
      <c r="P149" s="1187"/>
      <c r="Q149" s="1188"/>
      <c r="S149" s="6"/>
      <c r="T149" s="6"/>
    </row>
    <row r="150" spans="1:20" x14ac:dyDescent="0.25">
      <c r="A150" s="327" t="s">
        <v>28</v>
      </c>
      <c r="B150" s="428">
        <f>H15/0.75</f>
        <v>0</v>
      </c>
      <c r="C150" s="411">
        <v>0</v>
      </c>
      <c r="D150" s="269">
        <f>$D$3*C150*45000+$D$3*C150*45000*20%</f>
        <v>0</v>
      </c>
      <c r="E150" s="1035">
        <v>0</v>
      </c>
      <c r="F150" s="1036" t="e">
        <f>SUM(#REF!)</f>
        <v>#REF!</v>
      </c>
      <c r="G150" s="1166">
        <v>0</v>
      </c>
      <c r="H150" s="1167" t="e">
        <f>SUM(#REF!)</f>
        <v>#REF!</v>
      </c>
      <c r="I150" s="1166">
        <v>0</v>
      </c>
      <c r="J150" s="1167" t="e">
        <f>SUM(#REF!)</f>
        <v>#REF!</v>
      </c>
      <c r="K150" s="92" t="e">
        <f t="shared" si="13"/>
        <v>#DIV/0!</v>
      </c>
      <c r="L150" s="94" t="e">
        <f t="shared" si="14"/>
        <v>#REF!</v>
      </c>
      <c r="M150" s="95" t="e">
        <f>SUM(#REF!)</f>
        <v>#REF!</v>
      </c>
      <c r="N150" s="1186"/>
      <c r="O150" s="1187"/>
      <c r="P150" s="1187"/>
      <c r="Q150" s="1188"/>
      <c r="S150" s="6"/>
      <c r="T150" s="6"/>
    </row>
    <row r="151" spans="1:20" x14ac:dyDescent="0.25">
      <c r="A151" s="327" t="s">
        <v>110</v>
      </c>
      <c r="B151" s="428">
        <f>(H9-H15-H16)/1.5+(H16/0.75)</f>
        <v>0</v>
      </c>
      <c r="C151" s="411">
        <v>0</v>
      </c>
      <c r="D151" s="269">
        <f>$D$3*C151*45000</f>
        <v>0</v>
      </c>
      <c r="E151" s="1035">
        <v>0</v>
      </c>
      <c r="F151" s="1036" t="e">
        <f>SUM(#REF!)</f>
        <v>#REF!</v>
      </c>
      <c r="G151" s="1166">
        <v>0</v>
      </c>
      <c r="H151" s="1167" t="e">
        <f>SUM(#REF!)</f>
        <v>#REF!</v>
      </c>
      <c r="I151" s="1166">
        <v>0</v>
      </c>
      <c r="J151" s="1167" t="e">
        <f>SUM(#REF!)</f>
        <v>#REF!</v>
      </c>
      <c r="K151" s="92" t="e">
        <f t="shared" si="13"/>
        <v>#DIV/0!</v>
      </c>
      <c r="L151" s="94" t="e">
        <f t="shared" si="14"/>
        <v>#REF!</v>
      </c>
      <c r="M151" s="95" t="e">
        <f>SUM(#REF!)</f>
        <v>#REF!</v>
      </c>
      <c r="N151" s="1186"/>
      <c r="O151" s="1187"/>
      <c r="P151" s="1187"/>
      <c r="Q151" s="1188"/>
      <c r="S151" s="6"/>
      <c r="T151" s="6"/>
    </row>
    <row r="152" spans="1:20" x14ac:dyDescent="0.25">
      <c r="A152" s="321" t="s">
        <v>111</v>
      </c>
      <c r="B152" s="322">
        <f t="shared" ref="B152:G152" si="16">B153+B154</f>
        <v>0</v>
      </c>
      <c r="C152" s="322">
        <f t="shared" si="16"/>
        <v>0</v>
      </c>
      <c r="D152" s="323">
        <f t="shared" si="16"/>
        <v>0</v>
      </c>
      <c r="E152" s="1169">
        <f t="shared" si="16"/>
        <v>0</v>
      </c>
      <c r="F152" s="1170" t="e">
        <f t="shared" si="16"/>
        <v>#REF!</v>
      </c>
      <c r="G152" s="1169">
        <f t="shared" si="16"/>
        <v>0</v>
      </c>
      <c r="H152" s="1170" t="e">
        <f>H153+H154</f>
        <v>#REF!</v>
      </c>
      <c r="I152" s="1169">
        <f>I153+I154</f>
        <v>0</v>
      </c>
      <c r="J152" s="1171" t="e">
        <f>J153+J154</f>
        <v>#REF!</v>
      </c>
      <c r="K152" s="324" t="e">
        <f t="shared" si="13"/>
        <v>#DIV/0!</v>
      </c>
      <c r="L152" s="325" t="e">
        <f t="shared" si="14"/>
        <v>#REF!</v>
      </c>
      <c r="M152" s="326" t="e">
        <f>SUM(M153:M154)</f>
        <v>#REF!</v>
      </c>
      <c r="N152" s="1186"/>
      <c r="O152" s="1187"/>
      <c r="P152" s="1187"/>
      <c r="Q152" s="1188"/>
      <c r="S152" s="6"/>
      <c r="T152" s="6"/>
    </row>
    <row r="153" spans="1:20" x14ac:dyDescent="0.25">
      <c r="A153" s="327" t="s">
        <v>28</v>
      </c>
      <c r="B153" s="428">
        <v>0</v>
      </c>
      <c r="C153" s="411">
        <v>0</v>
      </c>
      <c r="D153" s="269">
        <f>$D$3*C153*35000+$D$3*C153*35000*20%</f>
        <v>0</v>
      </c>
      <c r="E153" s="1035">
        <v>0</v>
      </c>
      <c r="F153" s="1036" t="e">
        <f>SUM(#REF!)</f>
        <v>#REF!</v>
      </c>
      <c r="G153" s="1166">
        <v>0</v>
      </c>
      <c r="H153" s="1167" t="e">
        <f>SUM(#REF!)</f>
        <v>#REF!</v>
      </c>
      <c r="I153" s="1166">
        <v>0</v>
      </c>
      <c r="J153" s="1167" t="e">
        <f>SUM(#REF!)</f>
        <v>#REF!</v>
      </c>
      <c r="K153" s="92" t="e">
        <f t="shared" si="13"/>
        <v>#DIV/0!</v>
      </c>
      <c r="L153" s="94" t="e">
        <f t="shared" si="14"/>
        <v>#REF!</v>
      </c>
      <c r="M153" s="95" t="e">
        <f>SUM(#REF!)</f>
        <v>#REF!</v>
      </c>
      <c r="N153" s="1186"/>
      <c r="O153" s="1187"/>
      <c r="P153" s="1187"/>
      <c r="Q153" s="1188"/>
      <c r="S153" s="6"/>
      <c r="T153" s="6"/>
    </row>
    <row r="154" spans="1:20" ht="15.75" thickBot="1" x14ac:dyDescent="0.3">
      <c r="A154" s="327" t="s">
        <v>110</v>
      </c>
      <c r="B154" s="428">
        <v>0</v>
      </c>
      <c r="C154" s="411">
        <v>0</v>
      </c>
      <c r="D154" s="269">
        <f>$D$3*C154*35000</f>
        <v>0</v>
      </c>
      <c r="E154" s="1035">
        <v>0</v>
      </c>
      <c r="F154" s="1036" t="e">
        <f>SUM(#REF!)</f>
        <v>#REF!</v>
      </c>
      <c r="G154" s="1195">
        <v>0</v>
      </c>
      <c r="H154" s="1196" t="e">
        <f>SUM(#REF!)</f>
        <v>#REF!</v>
      </c>
      <c r="I154" s="1195">
        <v>0</v>
      </c>
      <c r="J154" s="1197" t="e">
        <f>SUM(#REF!)</f>
        <v>#REF!</v>
      </c>
      <c r="K154" s="92" t="e">
        <f t="shared" si="13"/>
        <v>#DIV/0!</v>
      </c>
      <c r="L154" s="94" t="e">
        <f t="shared" si="14"/>
        <v>#REF!</v>
      </c>
      <c r="M154" s="95" t="e">
        <f>SUM(#REF!)</f>
        <v>#REF!</v>
      </c>
      <c r="N154" s="1186"/>
      <c r="O154" s="1187"/>
      <c r="P154" s="1187"/>
      <c r="Q154" s="1188"/>
      <c r="S154" s="6"/>
      <c r="T154" s="6"/>
    </row>
    <row r="155" spans="1:20" s="101" customFormat="1" ht="16.5" thickBot="1" x14ac:dyDescent="0.3">
      <c r="A155" s="1198" t="s">
        <v>2</v>
      </c>
      <c r="B155" s="1199"/>
      <c r="C155" s="1200"/>
      <c r="D155" s="97">
        <f>SUM(D145:D149,D152)</f>
        <v>0</v>
      </c>
      <c r="E155" s="1201">
        <f t="shared" ref="E155:J155" si="17">SUM(E145:E149,E152)</f>
        <v>0</v>
      </c>
      <c r="F155" s="1202" t="e">
        <f t="shared" si="17"/>
        <v>#REF!</v>
      </c>
      <c r="G155" s="1201">
        <f t="shared" si="17"/>
        <v>0</v>
      </c>
      <c r="H155" s="1202" t="e">
        <f t="shared" si="17"/>
        <v>#REF!</v>
      </c>
      <c r="I155" s="1201">
        <f t="shared" si="17"/>
        <v>0</v>
      </c>
      <c r="J155" s="1203" t="e">
        <f t="shared" si="17"/>
        <v>#REF!</v>
      </c>
      <c r="K155" s="98" t="e">
        <f>E155/G155</f>
        <v>#DIV/0!</v>
      </c>
      <c r="L155" s="99" t="e">
        <f>M155/I155</f>
        <v>#REF!</v>
      </c>
      <c r="M155" s="79" t="e">
        <f>SUM(M145:M148,M150:M151,M153:M154)</f>
        <v>#REF!</v>
      </c>
      <c r="N155" s="1189"/>
      <c r="O155" s="1190"/>
      <c r="P155" s="1190"/>
      <c r="Q155" s="1191"/>
      <c r="R155" s="100"/>
    </row>
    <row r="156" spans="1:20" s="9" customFormat="1" ht="15.75" thickBot="1" x14ac:dyDescent="0.3">
      <c r="A156" s="102"/>
      <c r="B156" s="102"/>
      <c r="C156" s="102"/>
      <c r="D156" s="81"/>
      <c r="E156" s="83"/>
      <c r="F156" s="83"/>
      <c r="G156" s="83"/>
      <c r="H156" s="83"/>
      <c r="I156" s="83"/>
      <c r="J156" s="83"/>
      <c r="K156" s="84"/>
      <c r="L156" s="84"/>
      <c r="M156" s="84"/>
      <c r="N156" s="84"/>
      <c r="O156" s="86"/>
      <c r="P156" s="103"/>
      <c r="Q156" s="103"/>
      <c r="R156" s="103"/>
      <c r="S156" s="103"/>
      <c r="T156" s="104"/>
    </row>
    <row r="157" spans="1:20" s="105" customFormat="1" ht="18.75" x14ac:dyDescent="0.3">
      <c r="A157" s="1163" t="s">
        <v>10</v>
      </c>
      <c r="B157" s="1164"/>
      <c r="C157" s="1164"/>
      <c r="D157" s="1164"/>
      <c r="E157" s="1164"/>
      <c r="F157" s="1164"/>
      <c r="G157" s="1164"/>
      <c r="H157" s="1164"/>
      <c r="I157" s="1164"/>
      <c r="J157" s="1208" t="s">
        <v>39</v>
      </c>
      <c r="K157" s="1209"/>
      <c r="L157" s="1209"/>
      <c r="M157" s="1209"/>
      <c r="N157" s="1210" t="s">
        <v>40</v>
      </c>
      <c r="O157" s="1211"/>
      <c r="P157" s="1211"/>
      <c r="Q157" s="1212"/>
      <c r="T157" s="106"/>
    </row>
    <row r="158" spans="1:20" ht="12.75" customHeight="1" x14ac:dyDescent="0.25">
      <c r="A158" s="328"/>
      <c r="B158" s="48"/>
      <c r="C158" s="48"/>
      <c r="D158" s="48"/>
      <c r="E158" s="48"/>
      <c r="F158" s="48"/>
      <c r="G158" s="48"/>
      <c r="H158" s="48"/>
      <c r="I158" s="6"/>
      <c r="J158" s="977" t="s">
        <v>72</v>
      </c>
      <c r="K158" s="977"/>
      <c r="L158" s="978" t="s">
        <v>42</v>
      </c>
      <c r="M158" s="978"/>
      <c r="N158" s="1213"/>
      <c r="O158" s="1214"/>
      <c r="P158" s="1214"/>
      <c r="Q158" s="1215"/>
      <c r="S158" s="6"/>
      <c r="T158" s="6"/>
    </row>
    <row r="159" spans="1:20" s="14" customFormat="1" ht="51" customHeight="1" x14ac:dyDescent="0.25">
      <c r="A159" s="190" t="s">
        <v>112</v>
      </c>
      <c r="B159" s="185" t="s">
        <v>529</v>
      </c>
      <c r="C159" s="185" t="s">
        <v>113</v>
      </c>
      <c r="D159" s="187" t="s">
        <v>73</v>
      </c>
      <c r="E159" s="185" t="s">
        <v>114</v>
      </c>
      <c r="F159" s="982" t="s">
        <v>75</v>
      </c>
      <c r="G159" s="982"/>
      <c r="H159" s="982" t="s">
        <v>76</v>
      </c>
      <c r="I159" s="995"/>
      <c r="J159" s="977"/>
      <c r="K159" s="977"/>
      <c r="L159" s="189" t="s">
        <v>49</v>
      </c>
      <c r="M159" s="189" t="s">
        <v>50</v>
      </c>
      <c r="N159" s="1214"/>
      <c r="O159" s="1214"/>
      <c r="P159" s="1214"/>
      <c r="Q159" s="1215"/>
      <c r="R159" s="15"/>
    </row>
    <row r="160" spans="1:20" s="14" customFormat="1" ht="21.75" customHeight="1" x14ac:dyDescent="0.25">
      <c r="A160" s="255" t="s">
        <v>527</v>
      </c>
      <c r="B160" s="427"/>
      <c r="C160" s="427"/>
      <c r="D160" s="17">
        <f>($D$3*COUNTIF(B4,"Tribal")*(1*(1200*15*12)+(IF(H9&gt;300,"2",IF(H9&gt;100,"1","1")))*(1200*15*12)+(IF(H9&gt;300,"3",IF(H9&gt;100,"2","1")))*(1200*25*12))+$D$3*COUNTIF(B4,"Urban")*(1*(1100*15*12)+(IF(H9&gt;300,"2",IF(H9&gt;100,"1","1")))*(1100*15*12)+(IF(H9&gt;300,"3",IF(H9&gt;100,"2","1")))*(1100*25*12))+$D$3*COUNTIF(B4,"Rural")*(1*(1100*15*12)+(IF(H9&gt;300,"2",IF(H9&gt;100,"1","1")))*(1100*15*12)+(IF(H9&gt;300,"3",IF(H9&gt;100,"2","1")))*(1100*25*12)))-(COUNTIF(B4,"Tribal")*($D$3*C145*(1200*25*12)))-(COUNTIF(B4,"Urban")*($D$3*C145*(1100*25*12)))-(COUNTIF(B4,"Rurall")*($D$3*C145*(1200*25*12)))</f>
        <v>0</v>
      </c>
      <c r="E160" s="454"/>
      <c r="F160" s="1205"/>
      <c r="G160" s="1205"/>
      <c r="H160" s="1206"/>
      <c r="I160" s="1207"/>
      <c r="J160" s="1204" t="e">
        <f t="shared" ref="J160:J166" si="18">E160/F160</f>
        <v>#DIV/0!</v>
      </c>
      <c r="K160" s="1204"/>
      <c r="L160" s="318">
        <v>0.5</v>
      </c>
      <c r="M160" s="107">
        <f>L160*H160</f>
        <v>0</v>
      </c>
      <c r="N160" s="1214"/>
      <c r="O160" s="1214"/>
      <c r="P160" s="1214"/>
      <c r="Q160" s="1215"/>
      <c r="R160" s="15"/>
    </row>
    <row r="161" spans="1:20" s="14" customFormat="1" ht="21.75" customHeight="1" x14ac:dyDescent="0.25">
      <c r="A161" s="255" t="s">
        <v>528</v>
      </c>
      <c r="B161" s="427"/>
      <c r="C161" s="427"/>
      <c r="D161" s="17">
        <f>(COUNTIF(B4,"Tribal")*($D$3*C161*(1200*25*12)))+(COUNTIF(B4,"Urban")*($D$3*C161*(1100*25*12)))+(COUNTIF(B4,"Rural")*($D$3*C161*(1200*25*12)))</f>
        <v>0</v>
      </c>
      <c r="E161" s="454"/>
      <c r="F161" s="1205"/>
      <c r="G161" s="1205"/>
      <c r="H161" s="1206"/>
      <c r="I161" s="1207"/>
      <c r="J161" s="1204" t="e">
        <f t="shared" si="18"/>
        <v>#DIV/0!</v>
      </c>
      <c r="K161" s="1204"/>
      <c r="L161" s="318">
        <v>0.83333333333333304</v>
      </c>
      <c r="M161" s="107">
        <f>L161*H161</f>
        <v>0</v>
      </c>
      <c r="N161" s="1214"/>
      <c r="O161" s="1214"/>
      <c r="P161" s="1214"/>
      <c r="Q161" s="1215"/>
      <c r="R161" s="15"/>
    </row>
    <row r="162" spans="1:20" x14ac:dyDescent="0.25">
      <c r="A162" s="255" t="s">
        <v>115</v>
      </c>
      <c r="B162" s="427"/>
      <c r="C162" s="427"/>
      <c r="D162" s="452">
        <v>0</v>
      </c>
      <c r="E162" s="454"/>
      <c r="F162" s="1205"/>
      <c r="G162" s="1205"/>
      <c r="H162" s="1206"/>
      <c r="I162" s="1207"/>
      <c r="J162" s="1204" t="e">
        <f t="shared" si="18"/>
        <v>#DIV/0!</v>
      </c>
      <c r="K162" s="1204"/>
      <c r="L162" s="319" t="e">
        <f>M162/H162</f>
        <v>#REF!</v>
      </c>
      <c r="M162" s="107" t="e">
        <f>SUM(#REF!)</f>
        <v>#REF!</v>
      </c>
      <c r="N162" s="1214"/>
      <c r="O162" s="1214"/>
      <c r="P162" s="1214"/>
      <c r="Q162" s="1215"/>
      <c r="S162" s="6"/>
      <c r="T162" s="6"/>
    </row>
    <row r="163" spans="1:20" x14ac:dyDescent="0.25">
      <c r="A163" s="329" t="s">
        <v>116</v>
      </c>
      <c r="B163" s="330">
        <f>SUM(B164:B165)</f>
        <v>0</v>
      </c>
      <c r="C163" s="330">
        <f>SUM(C164:C165)</f>
        <v>0</v>
      </c>
      <c r="D163" s="331">
        <f>SUM(D164:D165)</f>
        <v>0</v>
      </c>
      <c r="E163" s="332">
        <f>SUM(E164:E165)</f>
        <v>0</v>
      </c>
      <c r="F163" s="1242">
        <f>SUM(F164:G165)</f>
        <v>0</v>
      </c>
      <c r="G163" s="1242"/>
      <c r="H163" s="1242">
        <f>SUM(H164:I165)</f>
        <v>0</v>
      </c>
      <c r="I163" s="1243"/>
      <c r="J163" s="1244" t="e">
        <f t="shared" si="18"/>
        <v>#DIV/0!</v>
      </c>
      <c r="K163" s="1244"/>
      <c r="L163" s="325"/>
      <c r="M163" s="322" t="e">
        <f>SUM(M164:M165)</f>
        <v>#REF!</v>
      </c>
      <c r="N163" s="1214"/>
      <c r="O163" s="1214"/>
      <c r="P163" s="1214"/>
      <c r="Q163" s="1215"/>
      <c r="S163" s="6"/>
      <c r="T163" s="6"/>
    </row>
    <row r="164" spans="1:20" x14ac:dyDescent="0.25">
      <c r="A164" s="333" t="s">
        <v>28</v>
      </c>
      <c r="B164" s="1245">
        <f>B148-C148</f>
        <v>0</v>
      </c>
      <c r="C164" s="223">
        <v>0</v>
      </c>
      <c r="D164" s="17">
        <f>$D$3*C164*(7*12)*1200</f>
        <v>0</v>
      </c>
      <c r="E164" s="169"/>
      <c r="F164" s="1247"/>
      <c r="G164" s="1247"/>
      <c r="H164" s="1247"/>
      <c r="I164" s="1248"/>
      <c r="J164" s="1249" t="e">
        <f t="shared" si="18"/>
        <v>#DIV/0!</v>
      </c>
      <c r="K164" s="1250"/>
      <c r="L164" s="94" t="e">
        <f>M164/H164</f>
        <v>#REF!</v>
      </c>
      <c r="M164" s="96" t="e">
        <f>SUM(#REF!)</f>
        <v>#REF!</v>
      </c>
      <c r="N164" s="1216"/>
      <c r="O164" s="1217"/>
      <c r="P164" s="1217"/>
      <c r="Q164" s="1218"/>
      <c r="S164" s="6"/>
      <c r="T164" s="6"/>
    </row>
    <row r="165" spans="1:20" ht="15.75" thickBot="1" x14ac:dyDescent="0.3">
      <c r="A165" s="334" t="s">
        <v>110</v>
      </c>
      <c r="B165" s="1246"/>
      <c r="C165" s="168">
        <v>0</v>
      </c>
      <c r="D165" s="213">
        <f>$D$3*C165*(7*12)*1100</f>
        <v>0</v>
      </c>
      <c r="E165" s="171"/>
      <c r="F165" s="1247"/>
      <c r="G165" s="1247"/>
      <c r="H165" s="1247"/>
      <c r="I165" s="1248"/>
      <c r="J165" s="1251" t="e">
        <f t="shared" si="18"/>
        <v>#DIV/0!</v>
      </c>
      <c r="K165" s="1252"/>
      <c r="L165" s="94" t="e">
        <f>M165/H165</f>
        <v>#REF!</v>
      </c>
      <c r="M165" s="96" t="e">
        <f>SUM(#REF!)</f>
        <v>#REF!</v>
      </c>
      <c r="N165" s="1216"/>
      <c r="O165" s="1217"/>
      <c r="P165" s="1217"/>
      <c r="Q165" s="1218"/>
      <c r="S165" s="6"/>
      <c r="T165" s="6"/>
    </row>
    <row r="166" spans="1:20" s="109" customFormat="1" ht="16.5" thickBot="1" x14ac:dyDescent="0.3">
      <c r="A166" s="1237" t="s">
        <v>2</v>
      </c>
      <c r="B166" s="1238"/>
      <c r="C166" s="1238"/>
      <c r="D166" s="204">
        <f t="shared" ref="D166:I166" si="19">SUM(D162:D163)</f>
        <v>0</v>
      </c>
      <c r="E166" s="108">
        <f t="shared" si="19"/>
        <v>0</v>
      </c>
      <c r="F166" s="1239">
        <f t="shared" si="19"/>
        <v>0</v>
      </c>
      <c r="G166" s="1239">
        <f t="shared" si="19"/>
        <v>0</v>
      </c>
      <c r="H166" s="1240">
        <f t="shared" si="19"/>
        <v>0</v>
      </c>
      <c r="I166" s="1240">
        <f t="shared" si="19"/>
        <v>0</v>
      </c>
      <c r="J166" s="1241" t="e">
        <f t="shared" si="18"/>
        <v>#DIV/0!</v>
      </c>
      <c r="K166" s="1241"/>
      <c r="L166" s="99" t="e">
        <f>M166/H166</f>
        <v>#REF!</v>
      </c>
      <c r="M166" s="79" t="e">
        <f>SUM(M162:M163)</f>
        <v>#REF!</v>
      </c>
      <c r="N166" s="1219"/>
      <c r="O166" s="1220"/>
      <c r="P166" s="1220"/>
      <c r="Q166" s="1221"/>
    </row>
    <row r="167" spans="1:20" s="87" customFormat="1" ht="15.75" thickBot="1" x14ac:dyDescent="0.25">
      <c r="A167" s="102"/>
      <c r="B167" s="102"/>
      <c r="C167" s="102"/>
      <c r="D167" s="110"/>
      <c r="E167" s="110"/>
      <c r="F167" s="83"/>
      <c r="G167" s="83"/>
      <c r="H167" s="103"/>
      <c r="I167" s="103"/>
      <c r="J167" s="103"/>
      <c r="K167" s="103"/>
      <c r="L167" s="111"/>
      <c r="M167" s="111"/>
      <c r="N167" s="84"/>
      <c r="O167" s="86"/>
      <c r="P167" s="103"/>
      <c r="Q167" s="103"/>
      <c r="R167" s="103"/>
      <c r="S167" s="103"/>
    </row>
    <row r="168" spans="1:20" ht="18" x14ac:dyDescent="0.25">
      <c r="A168" s="1163" t="s">
        <v>530</v>
      </c>
      <c r="B168" s="1164"/>
      <c r="C168" s="1164"/>
      <c r="D168" s="1164"/>
      <c r="E168" s="1164"/>
      <c r="F168" s="1164"/>
      <c r="G168" s="1164"/>
      <c r="H168" s="1164"/>
      <c r="I168" s="1165"/>
      <c r="J168" s="938" t="s">
        <v>39</v>
      </c>
      <c r="K168" s="938"/>
      <c r="L168" s="938"/>
      <c r="M168" s="938"/>
      <c r="N168" s="1101" t="s">
        <v>40</v>
      </c>
      <c r="O168" s="1101"/>
      <c r="P168" s="1101"/>
      <c r="Q168" s="1102"/>
    </row>
    <row r="169" spans="1:20" ht="15" customHeight="1" x14ac:dyDescent="0.25">
      <c r="A169" s="335"/>
      <c r="B169" s="6"/>
      <c r="C169" s="6"/>
      <c r="D169" s="6"/>
      <c r="E169" s="6"/>
      <c r="F169" s="6"/>
      <c r="G169" s="6"/>
      <c r="H169" s="6"/>
      <c r="I169" s="112"/>
      <c r="J169" s="1222" t="s">
        <v>72</v>
      </c>
      <c r="K169" s="1222"/>
      <c r="L169" s="978" t="s">
        <v>42</v>
      </c>
      <c r="M169" s="978"/>
      <c r="N169" s="1223"/>
      <c r="O169" s="1224"/>
      <c r="P169" s="1224"/>
      <c r="Q169" s="1225"/>
      <c r="R169" s="6"/>
      <c r="S169" s="6"/>
      <c r="T169" s="6"/>
    </row>
    <row r="170" spans="1:20" ht="88.5" customHeight="1" x14ac:dyDescent="0.25">
      <c r="A170" s="113" t="s">
        <v>43</v>
      </c>
      <c r="B170" s="208" t="s">
        <v>564</v>
      </c>
      <c r="C170" s="208" t="s">
        <v>565</v>
      </c>
      <c r="D170" s="208" t="s">
        <v>117</v>
      </c>
      <c r="E170" s="114" t="s">
        <v>73</v>
      </c>
      <c r="F170" s="208" t="s">
        <v>118</v>
      </c>
      <c r="G170" s="208" t="s">
        <v>119</v>
      </c>
      <c r="H170" s="1231" t="s">
        <v>120</v>
      </c>
      <c r="I170" s="1232"/>
      <c r="J170" s="1222"/>
      <c r="K170" s="1222"/>
      <c r="L170" s="189" t="s">
        <v>49</v>
      </c>
      <c r="M170" s="189" t="s">
        <v>50</v>
      </c>
      <c r="N170" s="1226"/>
      <c r="O170" s="1227"/>
      <c r="P170" s="1227"/>
      <c r="Q170" s="1228"/>
      <c r="R170" s="6"/>
      <c r="S170" s="6"/>
      <c r="T170" s="6"/>
    </row>
    <row r="171" spans="1:20" x14ac:dyDescent="0.25">
      <c r="A171" s="115" t="s">
        <v>121</v>
      </c>
      <c r="B171" s="116"/>
      <c r="C171" s="430"/>
      <c r="D171" s="430"/>
      <c r="E171" s="431"/>
      <c r="F171" s="432"/>
      <c r="G171" s="433"/>
      <c r="H171" s="1233"/>
      <c r="I171" s="1234"/>
      <c r="J171" s="1235" t="e">
        <f>F171/G171</f>
        <v>#DIV/0!</v>
      </c>
      <c r="K171" s="1236"/>
      <c r="L171" s="336" t="e">
        <f>M171/H171</f>
        <v>#REF!</v>
      </c>
      <c r="M171" s="49" t="e">
        <f>SUM(#REF!)</f>
        <v>#REF!</v>
      </c>
      <c r="N171" s="1226"/>
      <c r="O171" s="1227"/>
      <c r="P171" s="1227"/>
      <c r="Q171" s="1228"/>
      <c r="R171" s="6"/>
      <c r="S171" s="6"/>
      <c r="T171" s="6"/>
    </row>
    <row r="172" spans="1:20" ht="30" x14ac:dyDescent="0.25">
      <c r="A172" s="115" t="s">
        <v>531</v>
      </c>
      <c r="B172" s="172">
        <f>1*(IF($H$9&gt;300,"2",IF($H$9&gt;100,"1","1")))</f>
        <v>1</v>
      </c>
      <c r="C172" s="430"/>
      <c r="D172" s="430"/>
      <c r="E172" s="431"/>
      <c r="F172" s="432"/>
      <c r="G172" s="433"/>
      <c r="H172" s="1233"/>
      <c r="I172" s="1234"/>
      <c r="J172" s="1235" t="e">
        <f>F172/G172</f>
        <v>#DIV/0!</v>
      </c>
      <c r="K172" s="1236"/>
      <c r="L172" s="337">
        <v>1</v>
      </c>
      <c r="M172" s="49">
        <f>L172*H172</f>
        <v>0</v>
      </c>
      <c r="N172" s="1226"/>
      <c r="O172" s="1227"/>
      <c r="P172" s="1227"/>
      <c r="Q172" s="1228"/>
      <c r="R172" s="6"/>
      <c r="S172" s="6"/>
      <c r="T172" s="6"/>
    </row>
    <row r="173" spans="1:20" ht="30" customHeight="1" x14ac:dyDescent="0.25">
      <c r="A173" s="117" t="s">
        <v>122</v>
      </c>
      <c r="B173" s="172">
        <v>0</v>
      </c>
      <c r="C173" s="430"/>
      <c r="D173" s="430"/>
      <c r="E173" s="431"/>
      <c r="F173" s="433"/>
      <c r="G173" s="433"/>
      <c r="H173" s="1233"/>
      <c r="I173" s="1234"/>
      <c r="J173" s="1235" t="e">
        <f>F173/G173</f>
        <v>#DIV/0!</v>
      </c>
      <c r="K173" s="1236"/>
      <c r="L173" s="338" t="e">
        <f>M173/H173</f>
        <v>#REF!</v>
      </c>
      <c r="M173" s="49" t="e">
        <f>SUM(#REF!)</f>
        <v>#REF!</v>
      </c>
      <c r="N173" s="1226"/>
      <c r="O173" s="1227"/>
      <c r="P173" s="1227"/>
      <c r="Q173" s="1228"/>
      <c r="R173" s="6"/>
      <c r="S173" s="6"/>
      <c r="T173" s="6"/>
    </row>
    <row r="174" spans="1:20" ht="15.75" thickBot="1" x14ac:dyDescent="0.3">
      <c r="A174" s="118" t="s">
        <v>123</v>
      </c>
      <c r="B174" s="119">
        <f>1+H11</f>
        <v>1</v>
      </c>
      <c r="C174" s="434"/>
      <c r="D174" s="434"/>
      <c r="E174" s="431"/>
      <c r="F174" s="428"/>
      <c r="G174" s="428"/>
      <c r="H174" s="1267"/>
      <c r="I174" s="1268"/>
      <c r="J174" s="1269" t="e">
        <f>F174/G174</f>
        <v>#DIV/0!</v>
      </c>
      <c r="K174" s="1270"/>
      <c r="L174" s="339" t="e">
        <f>M174/H174</f>
        <v>#REF!</v>
      </c>
      <c r="M174" s="120" t="e">
        <f>SUM(#REF!)</f>
        <v>#REF!</v>
      </c>
      <c r="N174" s="1226"/>
      <c r="O174" s="1227"/>
      <c r="P174" s="1227"/>
      <c r="Q174" s="1228"/>
      <c r="R174" s="6"/>
      <c r="S174" s="6"/>
      <c r="T174" s="6"/>
    </row>
    <row r="175" spans="1:20" ht="16.5" thickBot="1" x14ac:dyDescent="0.3">
      <c r="A175" s="1271" t="s">
        <v>2</v>
      </c>
      <c r="B175" s="1272"/>
      <c r="C175" s="1272"/>
      <c r="D175" s="1273"/>
      <c r="E175" s="375">
        <f>SUM(E171:E174)</f>
        <v>0</v>
      </c>
      <c r="F175" s="122">
        <f>SUM(F171:F174)</f>
        <v>0</v>
      </c>
      <c r="G175" s="122">
        <f>SUM(G171:G174)</f>
        <v>0</v>
      </c>
      <c r="H175" s="1274">
        <f>SUM(H171:H174)</f>
        <v>0</v>
      </c>
      <c r="I175" s="1275">
        <f>SUM(I171:I174)</f>
        <v>0</v>
      </c>
      <c r="J175" s="1276" t="e">
        <f>F175/G175</f>
        <v>#DIV/0!</v>
      </c>
      <c r="K175" s="1277"/>
      <c r="L175" s="123" t="e">
        <f>M175/H175</f>
        <v>#REF!</v>
      </c>
      <c r="M175" s="124" t="e">
        <f>SUM(M171:M174)</f>
        <v>#REF!</v>
      </c>
      <c r="N175" s="1229"/>
      <c r="O175" s="1229"/>
      <c r="P175" s="1229"/>
      <c r="Q175" s="1230"/>
      <c r="R175" s="6"/>
      <c r="S175" s="6"/>
      <c r="T175" s="6"/>
    </row>
    <row r="176" spans="1:20" x14ac:dyDescent="0.25">
      <c r="A176" s="340"/>
      <c r="Q176" s="6"/>
      <c r="R176" s="6"/>
      <c r="S176" s="6"/>
      <c r="T176" s="6"/>
    </row>
    <row r="177" spans="1:20" s="105" customFormat="1" ht="18.75" x14ac:dyDescent="0.3">
      <c r="A177" s="1261" t="s">
        <v>12</v>
      </c>
      <c r="B177" s="1262"/>
      <c r="C177" s="1262"/>
      <c r="D177" s="1262"/>
      <c r="E177" s="1262"/>
      <c r="F177" s="1262"/>
      <c r="G177" s="1262"/>
      <c r="H177" s="1262"/>
      <c r="I177" s="1262"/>
      <c r="J177" s="1262"/>
      <c r="K177" s="1262"/>
      <c r="L177" s="1262"/>
      <c r="M177" s="1262"/>
      <c r="N177" s="1262"/>
      <c r="O177" s="1262"/>
      <c r="P177" s="1262"/>
      <c r="Q177" s="1262"/>
      <c r="R177" s="106"/>
      <c r="S177" s="106"/>
    </row>
    <row r="178" spans="1:20" ht="15.75" thickBot="1" x14ac:dyDescent="0.3">
      <c r="A178" s="341"/>
      <c r="Q178" s="6"/>
      <c r="R178" s="6"/>
      <c r="S178" s="6"/>
      <c r="T178" s="6"/>
    </row>
    <row r="179" spans="1:20" s="344" customFormat="1" ht="29.25" customHeight="1" x14ac:dyDescent="0.25">
      <c r="A179" s="1263" t="s">
        <v>124</v>
      </c>
      <c r="B179" s="1264"/>
      <c r="C179" s="1264"/>
      <c r="D179" s="1264"/>
      <c r="E179" s="1264"/>
      <c r="F179" s="1264"/>
      <c r="G179" s="1264"/>
      <c r="H179" s="1264"/>
      <c r="I179" s="342" t="s">
        <v>125</v>
      </c>
      <c r="J179" s="1265" t="s">
        <v>126</v>
      </c>
      <c r="K179" s="1266"/>
      <c r="L179" s="343"/>
      <c r="M179" s="343"/>
      <c r="N179" s="343"/>
    </row>
    <row r="180" spans="1:20" ht="15" customHeight="1" x14ac:dyDescent="0.25">
      <c r="A180" s="1253" t="s">
        <v>127</v>
      </c>
      <c r="B180" s="1254"/>
      <c r="C180" s="1254"/>
      <c r="D180" s="1254"/>
      <c r="E180" s="1254"/>
      <c r="F180" s="1254"/>
      <c r="G180" s="1254"/>
      <c r="H180" s="1254"/>
      <c r="I180" s="435"/>
      <c r="J180" s="1255"/>
      <c r="K180" s="1256"/>
      <c r="O180" s="6"/>
      <c r="P180" s="6"/>
      <c r="Q180" s="6"/>
      <c r="R180" s="6"/>
      <c r="S180" s="6"/>
      <c r="T180" s="6"/>
    </row>
    <row r="181" spans="1:20" ht="15" customHeight="1" x14ac:dyDescent="0.25">
      <c r="A181" s="1253" t="s">
        <v>128</v>
      </c>
      <c r="B181" s="1254"/>
      <c r="C181" s="1254"/>
      <c r="D181" s="1254"/>
      <c r="E181" s="1254"/>
      <c r="F181" s="1254"/>
      <c r="G181" s="1254"/>
      <c r="H181" s="1254"/>
      <c r="I181" s="435"/>
      <c r="J181" s="1255"/>
      <c r="K181" s="1256"/>
      <c r="O181" s="6"/>
      <c r="P181" s="6"/>
      <c r="Q181" s="6"/>
      <c r="R181" s="6"/>
      <c r="S181" s="6"/>
      <c r="T181" s="6"/>
    </row>
    <row r="182" spans="1:20" ht="15" customHeight="1" x14ac:dyDescent="0.25">
      <c r="A182" s="1253" t="s">
        <v>129</v>
      </c>
      <c r="B182" s="1254"/>
      <c r="C182" s="1254"/>
      <c r="D182" s="1254"/>
      <c r="E182" s="1254"/>
      <c r="F182" s="1254"/>
      <c r="G182" s="1254"/>
      <c r="H182" s="1254"/>
      <c r="I182" s="435"/>
      <c r="J182" s="1255"/>
      <c r="K182" s="1256"/>
      <c r="O182" s="6"/>
      <c r="P182" s="6"/>
      <c r="Q182" s="6"/>
      <c r="R182" s="6"/>
      <c r="S182" s="6"/>
      <c r="T182" s="6"/>
    </row>
    <row r="183" spans="1:20" ht="15" customHeight="1" thickBot="1" x14ac:dyDescent="0.3">
      <c r="A183" s="1257" t="s">
        <v>130</v>
      </c>
      <c r="B183" s="1258"/>
      <c r="C183" s="1258"/>
      <c r="D183" s="1258"/>
      <c r="E183" s="1258"/>
      <c r="F183" s="1258"/>
      <c r="G183" s="1258"/>
      <c r="H183" s="1258"/>
      <c r="I183" s="436"/>
      <c r="J183" s="1259"/>
      <c r="K183" s="1260"/>
      <c r="O183" s="6"/>
      <c r="P183" s="6"/>
      <c r="Q183" s="6"/>
      <c r="R183" s="6"/>
      <c r="S183" s="6"/>
      <c r="T183" s="6"/>
    </row>
    <row r="184" spans="1:20" ht="15" customHeight="1" x14ac:dyDescent="0.25">
      <c r="A184" s="125"/>
      <c r="B184" s="125"/>
      <c r="C184" s="125"/>
      <c r="D184" s="125"/>
      <c r="E184" s="125"/>
      <c r="F184" s="125"/>
      <c r="G184" s="125"/>
      <c r="H184" s="125"/>
      <c r="I184" s="126"/>
      <c r="J184" s="126"/>
      <c r="K184" s="126"/>
      <c r="O184" s="6"/>
      <c r="P184" s="6"/>
      <c r="Q184" s="6"/>
      <c r="R184" s="6"/>
      <c r="S184" s="6"/>
      <c r="T184" s="6"/>
    </row>
    <row r="185" spans="1:20" ht="15" customHeight="1" thickBot="1" x14ac:dyDescent="0.3">
      <c r="A185" s="125"/>
      <c r="B185" s="125"/>
      <c r="C185" s="125"/>
      <c r="D185" s="125"/>
      <c r="E185" s="125"/>
      <c r="F185" s="125"/>
      <c r="G185" s="125"/>
      <c r="H185" s="125"/>
      <c r="I185" s="126"/>
      <c r="J185" s="126"/>
      <c r="K185" s="126"/>
      <c r="O185" s="6"/>
      <c r="P185" s="6"/>
      <c r="Q185" s="6"/>
      <c r="R185" s="6"/>
      <c r="S185" s="6"/>
      <c r="T185" s="6"/>
    </row>
    <row r="186" spans="1:20" ht="15" customHeight="1" x14ac:dyDescent="0.25">
      <c r="A186" s="1302" t="s">
        <v>43</v>
      </c>
      <c r="B186" s="1303"/>
      <c r="C186" s="1303" t="s">
        <v>131</v>
      </c>
      <c r="D186" s="1303" t="s">
        <v>132</v>
      </c>
      <c r="E186" s="1303"/>
      <c r="F186" s="1305" t="s">
        <v>133</v>
      </c>
      <c r="G186" s="1305" t="s">
        <v>75</v>
      </c>
      <c r="H186" s="1307" t="s">
        <v>134</v>
      </c>
      <c r="I186" s="1307"/>
      <c r="J186" s="1125" t="s">
        <v>39</v>
      </c>
      <c r="K186" s="1125"/>
      <c r="L186" s="1125"/>
      <c r="M186" s="1125"/>
      <c r="N186" s="1101" t="s">
        <v>40</v>
      </c>
      <c r="O186" s="1101"/>
      <c r="P186" s="1101"/>
      <c r="Q186" s="1102"/>
      <c r="R186" s="6"/>
      <c r="S186" s="6"/>
      <c r="T186" s="6"/>
    </row>
    <row r="187" spans="1:20" ht="15" customHeight="1" x14ac:dyDescent="0.25">
      <c r="A187" s="1304"/>
      <c r="B187" s="1071"/>
      <c r="C187" s="1071"/>
      <c r="D187" s="1071"/>
      <c r="E187" s="1071"/>
      <c r="F187" s="1306"/>
      <c r="G187" s="1306"/>
      <c r="H187" s="1308"/>
      <c r="I187" s="1308"/>
      <c r="J187" s="977" t="s">
        <v>72</v>
      </c>
      <c r="K187" s="977"/>
      <c r="L187" s="189" t="s">
        <v>42</v>
      </c>
      <c r="M187" s="189"/>
      <c r="N187" s="1289"/>
      <c r="O187" s="1290"/>
      <c r="P187" s="1290"/>
      <c r="Q187" s="1291"/>
      <c r="R187" s="6"/>
      <c r="S187" s="6"/>
      <c r="T187" s="6"/>
    </row>
    <row r="188" spans="1:20" ht="28.5" customHeight="1" x14ac:dyDescent="0.25">
      <c r="A188" s="1304"/>
      <c r="B188" s="1071"/>
      <c r="C188" s="1071"/>
      <c r="D188" s="1071"/>
      <c r="E188" s="1071"/>
      <c r="F188" s="1306"/>
      <c r="G188" s="1306"/>
      <c r="H188" s="1308"/>
      <c r="I188" s="1308"/>
      <c r="J188" s="977"/>
      <c r="K188" s="977"/>
      <c r="L188" s="189" t="s">
        <v>49</v>
      </c>
      <c r="M188" s="189" t="s">
        <v>50</v>
      </c>
      <c r="N188" s="1292"/>
      <c r="O188" s="1293"/>
      <c r="P188" s="1293"/>
      <c r="Q188" s="1294"/>
      <c r="R188" s="6"/>
      <c r="S188" s="6"/>
      <c r="T188" s="6"/>
    </row>
    <row r="189" spans="1:20" ht="15" customHeight="1" x14ac:dyDescent="0.25">
      <c r="A189" s="1297" t="s">
        <v>135</v>
      </c>
      <c r="B189" s="1298"/>
      <c r="C189" s="127"/>
      <c r="D189" s="1299"/>
      <c r="E189" s="1299"/>
      <c r="F189" s="128"/>
      <c r="G189" s="128"/>
      <c r="H189" s="1299"/>
      <c r="I189" s="1299"/>
      <c r="J189" s="1300"/>
      <c r="K189" s="1301"/>
      <c r="L189" s="128"/>
      <c r="M189" s="128"/>
      <c r="N189" s="1292"/>
      <c r="O189" s="1293"/>
      <c r="P189" s="1293"/>
      <c r="Q189" s="1294"/>
      <c r="R189" s="6"/>
      <c r="S189" s="6"/>
      <c r="T189" s="6"/>
    </row>
    <row r="190" spans="1:20" x14ac:dyDescent="0.25">
      <c r="A190" s="1278" t="s">
        <v>136</v>
      </c>
      <c r="B190" s="1279"/>
      <c r="C190" s="435"/>
      <c r="D190" s="1280">
        <f>$D$3*C190*5000</f>
        <v>0</v>
      </c>
      <c r="E190" s="1280"/>
      <c r="F190" s="427"/>
      <c r="G190" s="427"/>
      <c r="H190" s="1255"/>
      <c r="I190" s="1255"/>
      <c r="J190" s="1281" t="e">
        <f>F190/G190</f>
        <v>#DIV/0!</v>
      </c>
      <c r="K190" s="1282"/>
      <c r="L190" s="319" t="e">
        <f>M190/H190</f>
        <v>#REF!</v>
      </c>
      <c r="M190" s="107" t="e">
        <f>SUM(#REF!)</f>
        <v>#REF!</v>
      </c>
      <c r="N190" s="1292"/>
      <c r="O190" s="1293"/>
      <c r="P190" s="1293"/>
      <c r="Q190" s="1294"/>
      <c r="R190" s="6"/>
      <c r="S190" s="6"/>
      <c r="T190" s="6"/>
    </row>
    <row r="191" spans="1:20" x14ac:dyDescent="0.25">
      <c r="A191" s="1278" t="s">
        <v>137</v>
      </c>
      <c r="B191" s="1279"/>
      <c r="C191" s="435"/>
      <c r="D191" s="1288"/>
      <c r="E191" s="1288"/>
      <c r="F191" s="427"/>
      <c r="G191" s="427"/>
      <c r="H191" s="1255"/>
      <c r="I191" s="1255"/>
      <c r="J191" s="1281" t="e">
        <f t="shared" ref="J191:J201" si="20">F191/G191</f>
        <v>#DIV/0!</v>
      </c>
      <c r="K191" s="1282"/>
      <c r="L191" s="319" t="e">
        <f t="shared" ref="L191:L201" si="21">M191/H191</f>
        <v>#REF!</v>
      </c>
      <c r="M191" s="107" t="e">
        <f>SUM(#REF!)</f>
        <v>#REF!</v>
      </c>
      <c r="N191" s="1292"/>
      <c r="O191" s="1293"/>
      <c r="P191" s="1293"/>
      <c r="Q191" s="1294"/>
      <c r="R191" s="6"/>
      <c r="S191" s="6"/>
      <c r="T191" s="6"/>
    </row>
    <row r="192" spans="1:20" x14ac:dyDescent="0.25">
      <c r="A192" s="1278" t="s">
        <v>138</v>
      </c>
      <c r="B192" s="1279"/>
      <c r="C192" s="435"/>
      <c r="D192" s="1280">
        <f>$D$3*C192*150000</f>
        <v>0</v>
      </c>
      <c r="E192" s="1280"/>
      <c r="F192" s="427"/>
      <c r="G192" s="427"/>
      <c r="H192" s="1255"/>
      <c r="I192" s="1255"/>
      <c r="J192" s="1281" t="e">
        <f>F192/G192</f>
        <v>#DIV/0!</v>
      </c>
      <c r="K192" s="1282"/>
      <c r="L192" s="319" t="e">
        <f>M192/H192</f>
        <v>#REF!</v>
      </c>
      <c r="M192" s="107" t="e">
        <f>SUM(#REF!)</f>
        <v>#REF!</v>
      </c>
      <c r="N192" s="1292"/>
      <c r="O192" s="1293"/>
      <c r="P192" s="1293"/>
      <c r="Q192" s="1294"/>
      <c r="R192" s="6"/>
      <c r="S192" s="6"/>
      <c r="T192" s="6"/>
    </row>
    <row r="193" spans="1:20" x14ac:dyDescent="0.25">
      <c r="A193" s="1278" t="s">
        <v>566</v>
      </c>
      <c r="B193" s="1279"/>
      <c r="C193" s="435"/>
      <c r="D193" s="1280">
        <f>$D$3*C193*92000</f>
        <v>0</v>
      </c>
      <c r="E193" s="1280"/>
      <c r="F193" s="427"/>
      <c r="G193" s="427"/>
      <c r="H193" s="1255"/>
      <c r="I193" s="1255"/>
      <c r="J193" s="1281" t="e">
        <f t="shared" si="20"/>
        <v>#DIV/0!</v>
      </c>
      <c r="K193" s="1282"/>
      <c r="L193" s="319" t="e">
        <f t="shared" si="21"/>
        <v>#REF!</v>
      </c>
      <c r="M193" s="107" t="e">
        <f>SUM(#REF!)</f>
        <v>#REF!</v>
      </c>
      <c r="N193" s="1292"/>
      <c r="O193" s="1293"/>
      <c r="P193" s="1293"/>
      <c r="Q193" s="1294"/>
      <c r="R193" s="6"/>
      <c r="S193" s="6"/>
      <c r="T193" s="6"/>
    </row>
    <row r="194" spans="1:20" x14ac:dyDescent="0.25">
      <c r="A194" s="1283" t="s">
        <v>139</v>
      </c>
      <c r="B194" s="1284"/>
      <c r="C194" s="218">
        <f>SUM(C195:C201)</f>
        <v>0</v>
      </c>
      <c r="D194" s="1285">
        <f>SUM(D195:E201)</f>
        <v>0</v>
      </c>
      <c r="E194" s="1285"/>
      <c r="F194" s="345">
        <f>SUM(F195:F201)</f>
        <v>0</v>
      </c>
      <c r="G194" s="345">
        <f>SUM(G195:G201)</f>
        <v>0</v>
      </c>
      <c r="H194" s="1285">
        <f>SUM(H195:H201)</f>
        <v>0</v>
      </c>
      <c r="I194" s="1285">
        <f>SUM(I195:I201)</f>
        <v>0</v>
      </c>
      <c r="J194" s="1286" t="e">
        <f t="shared" si="20"/>
        <v>#DIV/0!</v>
      </c>
      <c r="K194" s="1287"/>
      <c r="L194" s="346" t="e">
        <f t="shared" si="21"/>
        <v>#REF!</v>
      </c>
      <c r="M194" s="345" t="e">
        <f>SUM(M195:M201)</f>
        <v>#REF!</v>
      </c>
      <c r="N194" s="1292"/>
      <c r="O194" s="1293"/>
      <c r="P194" s="1293"/>
      <c r="Q194" s="1294"/>
      <c r="R194" s="6"/>
      <c r="S194" s="6"/>
      <c r="T194" s="6"/>
    </row>
    <row r="195" spans="1:20" x14ac:dyDescent="0.25">
      <c r="A195" s="989" t="s">
        <v>53</v>
      </c>
      <c r="B195" s="990"/>
      <c r="C195" s="392"/>
      <c r="D195" s="1309"/>
      <c r="E195" s="1310"/>
      <c r="F195" s="392"/>
      <c r="G195" s="392"/>
      <c r="H195" s="1309"/>
      <c r="I195" s="1310"/>
      <c r="J195" s="1281" t="e">
        <f t="shared" si="20"/>
        <v>#DIV/0!</v>
      </c>
      <c r="K195" s="1282"/>
      <c r="L195" s="319" t="e">
        <f t="shared" si="21"/>
        <v>#REF!</v>
      </c>
      <c r="M195" s="267" t="e">
        <f>SUM(#REF!)</f>
        <v>#REF!</v>
      </c>
      <c r="N195" s="1292"/>
      <c r="O195" s="1293"/>
      <c r="P195" s="1293"/>
      <c r="Q195" s="1294"/>
      <c r="R195" s="6"/>
      <c r="S195" s="6"/>
      <c r="T195" s="6"/>
    </row>
    <row r="196" spans="1:20" x14ac:dyDescent="0.25">
      <c r="A196" s="989" t="s">
        <v>54</v>
      </c>
      <c r="B196" s="990"/>
      <c r="C196" s="392"/>
      <c r="D196" s="1309"/>
      <c r="E196" s="1310"/>
      <c r="F196" s="392"/>
      <c r="G196" s="392"/>
      <c r="H196" s="1309"/>
      <c r="I196" s="1310"/>
      <c r="J196" s="1281" t="e">
        <f t="shared" si="20"/>
        <v>#DIV/0!</v>
      </c>
      <c r="K196" s="1282"/>
      <c r="L196" s="319" t="e">
        <f t="shared" si="21"/>
        <v>#REF!</v>
      </c>
      <c r="M196" s="267" t="e">
        <f>SUM(#REF!)</f>
        <v>#REF!</v>
      </c>
      <c r="N196" s="1292"/>
      <c r="O196" s="1293"/>
      <c r="P196" s="1293"/>
      <c r="Q196" s="1294"/>
      <c r="R196" s="6"/>
      <c r="S196" s="6"/>
      <c r="T196" s="6"/>
    </row>
    <row r="197" spans="1:20" x14ac:dyDescent="0.25">
      <c r="A197" s="989" t="s">
        <v>55</v>
      </c>
      <c r="B197" s="990"/>
      <c r="C197" s="392"/>
      <c r="D197" s="1309"/>
      <c r="E197" s="1310"/>
      <c r="F197" s="392"/>
      <c r="G197" s="392"/>
      <c r="H197" s="1309"/>
      <c r="I197" s="1310"/>
      <c r="J197" s="1281" t="e">
        <f t="shared" si="20"/>
        <v>#DIV/0!</v>
      </c>
      <c r="K197" s="1282"/>
      <c r="L197" s="319" t="e">
        <f t="shared" si="21"/>
        <v>#REF!</v>
      </c>
      <c r="M197" s="267" t="e">
        <f>SUM(#REF!)</f>
        <v>#REF!</v>
      </c>
      <c r="N197" s="1292"/>
      <c r="O197" s="1293"/>
      <c r="P197" s="1293"/>
      <c r="Q197" s="1294"/>
      <c r="R197" s="6"/>
      <c r="S197" s="6"/>
      <c r="T197" s="6"/>
    </row>
    <row r="198" spans="1:20" x14ac:dyDescent="0.25">
      <c r="A198" s="989" t="s">
        <v>56</v>
      </c>
      <c r="B198" s="990"/>
      <c r="C198" s="392"/>
      <c r="D198" s="1309"/>
      <c r="E198" s="1310"/>
      <c r="F198" s="392"/>
      <c r="G198" s="392"/>
      <c r="H198" s="1309"/>
      <c r="I198" s="1310"/>
      <c r="J198" s="1281" t="e">
        <f t="shared" si="20"/>
        <v>#DIV/0!</v>
      </c>
      <c r="K198" s="1282"/>
      <c r="L198" s="319" t="e">
        <f t="shared" si="21"/>
        <v>#REF!</v>
      </c>
      <c r="M198" s="267" t="e">
        <f>SUM(#REF!)</f>
        <v>#REF!</v>
      </c>
      <c r="N198" s="1292"/>
      <c r="O198" s="1293"/>
      <c r="P198" s="1293"/>
      <c r="Q198" s="1294"/>
      <c r="R198" s="6"/>
      <c r="S198" s="6"/>
      <c r="T198" s="6"/>
    </row>
    <row r="199" spans="1:20" x14ac:dyDescent="0.25">
      <c r="A199" s="989" t="s">
        <v>57</v>
      </c>
      <c r="B199" s="990"/>
      <c r="C199" s="392"/>
      <c r="D199" s="1309"/>
      <c r="E199" s="1310"/>
      <c r="F199" s="392"/>
      <c r="G199" s="392"/>
      <c r="H199" s="1309"/>
      <c r="I199" s="1310"/>
      <c r="J199" s="1281" t="e">
        <f t="shared" si="20"/>
        <v>#DIV/0!</v>
      </c>
      <c r="K199" s="1282"/>
      <c r="L199" s="319" t="e">
        <f t="shared" si="21"/>
        <v>#REF!</v>
      </c>
      <c r="M199" s="267" t="e">
        <f>SUM(#REF!)</f>
        <v>#REF!</v>
      </c>
      <c r="N199" s="1292"/>
      <c r="O199" s="1293"/>
      <c r="P199" s="1293"/>
      <c r="Q199" s="1294"/>
      <c r="R199" s="6"/>
      <c r="S199" s="6"/>
      <c r="T199" s="6"/>
    </row>
    <row r="200" spans="1:20" x14ac:dyDescent="0.25">
      <c r="A200" s="989" t="s">
        <v>58</v>
      </c>
      <c r="B200" s="990"/>
      <c r="C200" s="392"/>
      <c r="D200" s="1309"/>
      <c r="E200" s="1310"/>
      <c r="F200" s="392"/>
      <c r="G200" s="392"/>
      <c r="H200" s="1309"/>
      <c r="I200" s="1310"/>
      <c r="J200" s="1281" t="e">
        <f t="shared" si="20"/>
        <v>#DIV/0!</v>
      </c>
      <c r="K200" s="1282"/>
      <c r="L200" s="319" t="e">
        <f t="shared" si="21"/>
        <v>#REF!</v>
      </c>
      <c r="M200" s="267" t="e">
        <f>SUM(#REF!)</f>
        <v>#REF!</v>
      </c>
      <c r="N200" s="1292"/>
      <c r="O200" s="1293"/>
      <c r="P200" s="1293"/>
      <c r="Q200" s="1294"/>
      <c r="R200" s="6"/>
      <c r="S200" s="6"/>
      <c r="T200" s="6"/>
    </row>
    <row r="201" spans="1:20" ht="15" customHeight="1" x14ac:dyDescent="0.25">
      <c r="A201" s="983" t="s">
        <v>59</v>
      </c>
      <c r="B201" s="984"/>
      <c r="C201" s="395"/>
      <c r="D201" s="1309"/>
      <c r="E201" s="1310"/>
      <c r="F201" s="395"/>
      <c r="G201" s="395"/>
      <c r="H201" s="1309"/>
      <c r="I201" s="1310"/>
      <c r="J201" s="1281" t="e">
        <f t="shared" si="20"/>
        <v>#DIV/0!</v>
      </c>
      <c r="K201" s="1282"/>
      <c r="L201" s="319" t="e">
        <f t="shared" si="21"/>
        <v>#REF!</v>
      </c>
      <c r="M201" s="270" t="e">
        <f>SUM(#REF!)</f>
        <v>#REF!</v>
      </c>
      <c r="N201" s="1292"/>
      <c r="O201" s="1293"/>
      <c r="P201" s="1293"/>
      <c r="Q201" s="1294"/>
      <c r="R201" s="6"/>
      <c r="S201" s="6"/>
      <c r="T201" s="6"/>
    </row>
    <row r="202" spans="1:20" x14ac:dyDescent="0.25">
      <c r="A202" s="1317" t="s">
        <v>140</v>
      </c>
      <c r="B202" s="1318"/>
      <c r="C202" s="127"/>
      <c r="D202" s="1319"/>
      <c r="E202" s="1320"/>
      <c r="F202" s="1319"/>
      <c r="G202" s="1320"/>
      <c r="H202" s="1300"/>
      <c r="I202" s="1301"/>
      <c r="J202" s="1300"/>
      <c r="K202" s="1301"/>
      <c r="L202" s="128"/>
      <c r="M202" s="128"/>
      <c r="N202" s="1292"/>
      <c r="O202" s="1293"/>
      <c r="P202" s="1293"/>
      <c r="Q202" s="1294"/>
      <c r="R202" s="6"/>
      <c r="S202" s="6"/>
      <c r="T202" s="6"/>
    </row>
    <row r="203" spans="1:20" s="9" customFormat="1" x14ac:dyDescent="0.25">
      <c r="A203" s="1311" t="s">
        <v>532</v>
      </c>
      <c r="B203" s="1312"/>
      <c r="C203" s="435">
        <v>1</v>
      </c>
      <c r="D203" s="1313"/>
      <c r="E203" s="1313"/>
      <c r="F203" s="435"/>
      <c r="G203" s="435"/>
      <c r="H203" s="1255"/>
      <c r="I203" s="1255"/>
      <c r="J203" s="1281" t="e">
        <f>F203/G203</f>
        <v>#DIV/0!</v>
      </c>
      <c r="K203" s="1282"/>
      <c r="L203" s="319">
        <v>1</v>
      </c>
      <c r="M203" s="107">
        <f>L203*H203</f>
        <v>0</v>
      </c>
      <c r="N203" s="1292"/>
      <c r="O203" s="1293"/>
      <c r="P203" s="1293"/>
      <c r="Q203" s="1294"/>
    </row>
    <row r="204" spans="1:20" s="9" customFormat="1" x14ac:dyDescent="0.25">
      <c r="A204" s="1311" t="s">
        <v>569</v>
      </c>
      <c r="B204" s="1312"/>
      <c r="C204" s="435"/>
      <c r="D204" s="1313"/>
      <c r="E204" s="1313"/>
      <c r="F204" s="435"/>
      <c r="G204" s="435"/>
      <c r="H204" s="1255"/>
      <c r="I204" s="1255"/>
      <c r="J204" s="1281" t="e">
        <f>F204/G204</f>
        <v>#DIV/0!</v>
      </c>
      <c r="K204" s="1282"/>
      <c r="L204" s="319">
        <v>1</v>
      </c>
      <c r="M204" s="107">
        <f>L204*H204</f>
        <v>0</v>
      </c>
      <c r="N204" s="1292"/>
      <c r="O204" s="1293"/>
      <c r="P204" s="1293"/>
      <c r="Q204" s="1294"/>
    </row>
    <row r="205" spans="1:20" s="9" customFormat="1" x14ac:dyDescent="0.25">
      <c r="A205" s="1311" t="s">
        <v>570</v>
      </c>
      <c r="B205" s="1312"/>
      <c r="C205" s="435"/>
      <c r="D205" s="1313"/>
      <c r="E205" s="1313"/>
      <c r="F205" s="435"/>
      <c r="G205" s="435"/>
      <c r="H205" s="1255"/>
      <c r="I205" s="1255"/>
      <c r="J205" s="1281" t="e">
        <f>F205/G205</f>
        <v>#DIV/0!</v>
      </c>
      <c r="K205" s="1282"/>
      <c r="L205" s="319">
        <v>1</v>
      </c>
      <c r="M205" s="107">
        <f>L205*H205</f>
        <v>0</v>
      </c>
      <c r="N205" s="1292"/>
      <c r="O205" s="1293"/>
      <c r="P205" s="1293"/>
      <c r="Q205" s="1294"/>
    </row>
    <row r="206" spans="1:20" s="9" customFormat="1" x14ac:dyDescent="0.25">
      <c r="A206" s="1314" t="s">
        <v>12</v>
      </c>
      <c r="B206" s="1315"/>
      <c r="C206" s="1315"/>
      <c r="D206" s="1315"/>
      <c r="E206" s="1315"/>
      <c r="F206" s="1315"/>
      <c r="G206" s="1315"/>
      <c r="H206" s="1315"/>
      <c r="I206" s="1315"/>
      <c r="J206" s="1315"/>
      <c r="K206" s="1315"/>
      <c r="L206" s="1315"/>
      <c r="M206" s="1316"/>
      <c r="N206" s="1292"/>
      <c r="O206" s="1293"/>
      <c r="P206" s="1293"/>
      <c r="Q206" s="1294"/>
    </row>
    <row r="207" spans="1:20" ht="15.75" customHeight="1" x14ac:dyDescent="0.25">
      <c r="A207" s="1311" t="s">
        <v>141</v>
      </c>
      <c r="B207" s="1312"/>
      <c r="C207" s="435"/>
      <c r="D207" s="1255"/>
      <c r="E207" s="1255"/>
      <c r="F207" s="435"/>
      <c r="G207" s="435"/>
      <c r="H207" s="1255"/>
      <c r="I207" s="1255"/>
      <c r="J207" s="1281" t="e">
        <f>F207/G207</f>
        <v>#DIV/0!</v>
      </c>
      <c r="K207" s="1282"/>
      <c r="L207" s="319" t="e">
        <f>M207/H207</f>
        <v>#REF!</v>
      </c>
      <c r="M207" s="107" t="e">
        <f>SUM(#REF!)</f>
        <v>#REF!</v>
      </c>
      <c r="N207" s="1292"/>
      <c r="O207" s="1293"/>
      <c r="P207" s="1293"/>
      <c r="Q207" s="1294"/>
      <c r="R207" s="6"/>
      <c r="S207" s="6"/>
      <c r="T207" s="6"/>
    </row>
    <row r="208" spans="1:20" x14ac:dyDescent="0.25">
      <c r="A208" s="1311" t="s">
        <v>142</v>
      </c>
      <c r="B208" s="1312"/>
      <c r="C208" s="435"/>
      <c r="D208" s="1255"/>
      <c r="E208" s="1255"/>
      <c r="F208" s="435"/>
      <c r="G208" s="435"/>
      <c r="H208" s="1255"/>
      <c r="I208" s="1255"/>
      <c r="J208" s="1281" t="e">
        <f>F208/G208</f>
        <v>#DIV/0!</v>
      </c>
      <c r="K208" s="1282"/>
      <c r="L208" s="319" t="e">
        <f>M208/H208</f>
        <v>#REF!</v>
      </c>
      <c r="M208" s="107" t="e">
        <f>SUM(#REF!)</f>
        <v>#REF!</v>
      </c>
      <c r="N208" s="1292"/>
      <c r="O208" s="1293"/>
      <c r="P208" s="1293"/>
      <c r="Q208" s="1294"/>
      <c r="R208" s="6"/>
      <c r="S208" s="6"/>
      <c r="T208" s="6"/>
    </row>
    <row r="209" spans="1:20" x14ac:dyDescent="0.25">
      <c r="A209" s="1311" t="s">
        <v>123</v>
      </c>
      <c r="B209" s="1312"/>
      <c r="C209" s="435"/>
      <c r="D209" s="1255"/>
      <c r="E209" s="1255"/>
      <c r="F209" s="435"/>
      <c r="G209" s="435"/>
      <c r="H209" s="1255"/>
      <c r="I209" s="1255"/>
      <c r="J209" s="1281" t="e">
        <f>F209/G209</f>
        <v>#DIV/0!</v>
      </c>
      <c r="K209" s="1282"/>
      <c r="L209" s="319" t="e">
        <f>M209/H209</f>
        <v>#REF!</v>
      </c>
      <c r="M209" s="107" t="e">
        <f>SUM(#REF!)</f>
        <v>#REF!</v>
      </c>
      <c r="N209" s="1292"/>
      <c r="O209" s="1293"/>
      <c r="P209" s="1293"/>
      <c r="Q209" s="1294"/>
      <c r="R209" s="6"/>
      <c r="S209" s="6"/>
      <c r="T209" s="6"/>
    </row>
    <row r="210" spans="1:20" ht="15" customHeight="1" x14ac:dyDescent="0.25">
      <c r="A210" s="1314" t="s">
        <v>533</v>
      </c>
      <c r="B210" s="1315"/>
      <c r="C210" s="1315"/>
      <c r="D210" s="1315"/>
      <c r="E210" s="1315"/>
      <c r="F210" s="1315"/>
      <c r="G210" s="1315"/>
      <c r="H210" s="1315"/>
      <c r="I210" s="1315"/>
      <c r="J210" s="1315"/>
      <c r="K210" s="1315"/>
      <c r="L210" s="1315"/>
      <c r="M210" s="1316"/>
      <c r="N210" s="1292"/>
      <c r="O210" s="1293"/>
      <c r="P210" s="1293"/>
      <c r="Q210" s="1294"/>
      <c r="R210" s="6"/>
      <c r="S210" s="6"/>
      <c r="T210" s="6"/>
    </row>
    <row r="211" spans="1:20" x14ac:dyDescent="0.25">
      <c r="A211" s="1311" t="s">
        <v>141</v>
      </c>
      <c r="B211" s="1312"/>
      <c r="C211" s="435"/>
      <c r="D211" s="1255"/>
      <c r="E211" s="1255"/>
      <c r="F211" s="435"/>
      <c r="G211" s="435"/>
      <c r="H211" s="1255"/>
      <c r="I211" s="1255"/>
      <c r="J211" s="1281" t="e">
        <f>F211/G211</f>
        <v>#DIV/0!</v>
      </c>
      <c r="K211" s="1282"/>
      <c r="L211" s="319" t="e">
        <f>M211/H211</f>
        <v>#REF!</v>
      </c>
      <c r="M211" s="107" t="e">
        <f>SUM(#REF!)</f>
        <v>#REF!</v>
      </c>
      <c r="N211" s="1292"/>
      <c r="O211" s="1293"/>
      <c r="P211" s="1293"/>
      <c r="Q211" s="1294"/>
      <c r="R211" s="6"/>
      <c r="S211" s="6"/>
      <c r="T211" s="6"/>
    </row>
    <row r="212" spans="1:20" x14ac:dyDescent="0.25">
      <c r="A212" s="1311" t="s">
        <v>142</v>
      </c>
      <c r="B212" s="1312"/>
      <c r="C212" s="435"/>
      <c r="D212" s="1255"/>
      <c r="E212" s="1255"/>
      <c r="F212" s="435"/>
      <c r="G212" s="435"/>
      <c r="H212" s="1255"/>
      <c r="I212" s="1255"/>
      <c r="J212" s="1281" t="e">
        <f>F212/G212</f>
        <v>#DIV/0!</v>
      </c>
      <c r="K212" s="1282"/>
      <c r="L212" s="319" t="e">
        <f>M212/H212</f>
        <v>#REF!</v>
      </c>
      <c r="M212" s="107" t="e">
        <f>SUM(#REF!)</f>
        <v>#REF!</v>
      </c>
      <c r="N212" s="1292"/>
      <c r="O212" s="1293"/>
      <c r="P212" s="1293"/>
      <c r="Q212" s="1294"/>
      <c r="R212" s="6"/>
      <c r="S212" s="6"/>
      <c r="T212" s="6"/>
    </row>
    <row r="213" spans="1:20" x14ac:dyDescent="0.25">
      <c r="A213" s="1311" t="s">
        <v>123</v>
      </c>
      <c r="B213" s="1312"/>
      <c r="C213" s="435"/>
      <c r="D213" s="1255"/>
      <c r="E213" s="1255"/>
      <c r="F213" s="435"/>
      <c r="G213" s="435"/>
      <c r="H213" s="1255"/>
      <c r="I213" s="1255"/>
      <c r="J213" s="1281" t="e">
        <f>F213/G213</f>
        <v>#DIV/0!</v>
      </c>
      <c r="K213" s="1282"/>
      <c r="L213" s="319" t="e">
        <f>M213/H213</f>
        <v>#REF!</v>
      </c>
      <c r="M213" s="107" t="e">
        <f>SUM(#REF!)</f>
        <v>#REF!</v>
      </c>
      <c r="N213" s="1292"/>
      <c r="O213" s="1293"/>
      <c r="P213" s="1293"/>
      <c r="Q213" s="1294"/>
      <c r="R213" s="6"/>
      <c r="S213" s="6"/>
      <c r="T213" s="6"/>
    </row>
    <row r="214" spans="1:20" x14ac:dyDescent="0.25">
      <c r="A214" s="1297" t="s">
        <v>143</v>
      </c>
      <c r="B214" s="1298"/>
      <c r="C214" s="127"/>
      <c r="D214" s="1299"/>
      <c r="E214" s="1299"/>
      <c r="F214" s="1299"/>
      <c r="G214" s="1299"/>
      <c r="H214" s="1300"/>
      <c r="I214" s="1301"/>
      <c r="J214" s="1300"/>
      <c r="K214" s="1301"/>
      <c r="L214" s="128"/>
      <c r="M214" s="128"/>
      <c r="N214" s="1292"/>
      <c r="O214" s="1293"/>
      <c r="P214" s="1293"/>
      <c r="Q214" s="1294"/>
      <c r="R214" s="6"/>
      <c r="S214" s="6"/>
      <c r="T214" s="6"/>
    </row>
    <row r="215" spans="1:20" x14ac:dyDescent="0.25">
      <c r="A215" s="1311" t="s">
        <v>144</v>
      </c>
      <c r="B215" s="1312"/>
      <c r="C215" s="435"/>
      <c r="D215" s="1255"/>
      <c r="E215" s="1255"/>
      <c r="F215" s="435"/>
      <c r="G215" s="435"/>
      <c r="H215" s="1255"/>
      <c r="I215" s="1255"/>
      <c r="J215" s="1281" t="e">
        <f>F215/G215</f>
        <v>#DIV/0!</v>
      </c>
      <c r="K215" s="1282"/>
      <c r="L215" s="319" t="e">
        <f>M215/H215</f>
        <v>#REF!</v>
      </c>
      <c r="M215" s="107" t="e">
        <f>SUM(#REF!)</f>
        <v>#REF!</v>
      </c>
      <c r="N215" s="1292"/>
      <c r="O215" s="1293"/>
      <c r="P215" s="1293"/>
      <c r="Q215" s="1294"/>
      <c r="R215" s="6"/>
      <c r="S215" s="6"/>
      <c r="T215" s="6"/>
    </row>
    <row r="216" spans="1:20" ht="29.25" customHeight="1" x14ac:dyDescent="0.25">
      <c r="A216" s="1311" t="s">
        <v>145</v>
      </c>
      <c r="B216" s="1312"/>
      <c r="C216" s="435"/>
      <c r="D216" s="1255"/>
      <c r="E216" s="1255"/>
      <c r="F216" s="435"/>
      <c r="G216" s="435"/>
      <c r="H216" s="1255"/>
      <c r="I216" s="1255"/>
      <c r="J216" s="1281" t="e">
        <f>F216/G216</f>
        <v>#DIV/0!</v>
      </c>
      <c r="K216" s="1282"/>
      <c r="L216" s="319" t="e">
        <f>M216/H216</f>
        <v>#REF!</v>
      </c>
      <c r="M216" s="107" t="e">
        <f>SUM(#REF!)</f>
        <v>#REF!</v>
      </c>
      <c r="N216" s="1292"/>
      <c r="O216" s="1293"/>
      <c r="P216" s="1293"/>
      <c r="Q216" s="1294"/>
      <c r="R216" s="6"/>
      <c r="S216" s="6"/>
      <c r="T216" s="6"/>
    </row>
    <row r="217" spans="1:20" ht="60.75" customHeight="1" x14ac:dyDescent="0.25">
      <c r="A217" s="1311" t="s">
        <v>534</v>
      </c>
      <c r="B217" s="1312"/>
      <c r="C217" s="435"/>
      <c r="D217" s="1255"/>
      <c r="E217" s="1255"/>
      <c r="F217" s="435"/>
      <c r="G217" s="435"/>
      <c r="H217" s="1255"/>
      <c r="I217" s="1255"/>
      <c r="J217" s="1281" t="e">
        <f>F217/G217</f>
        <v>#DIV/0!</v>
      </c>
      <c r="K217" s="1282"/>
      <c r="L217" s="318">
        <v>1</v>
      </c>
      <c r="M217" s="107">
        <f>L217*H217</f>
        <v>0</v>
      </c>
      <c r="N217" s="1292"/>
      <c r="O217" s="1293"/>
      <c r="P217" s="1293"/>
      <c r="Q217" s="1294"/>
      <c r="R217" s="6"/>
      <c r="S217" s="6"/>
      <c r="T217" s="6"/>
    </row>
    <row r="218" spans="1:20" x14ac:dyDescent="0.25">
      <c r="A218" s="1311" t="s">
        <v>146</v>
      </c>
      <c r="B218" s="1312"/>
      <c r="C218" s="435"/>
      <c r="D218" s="1255"/>
      <c r="E218" s="1255"/>
      <c r="F218" s="435"/>
      <c r="G218" s="435"/>
      <c r="H218" s="1255"/>
      <c r="I218" s="1255"/>
      <c r="J218" s="1281" t="e">
        <f>F218/G218</f>
        <v>#DIV/0!</v>
      </c>
      <c r="K218" s="1282"/>
      <c r="L218" s="319" t="e">
        <f>M218/H218</f>
        <v>#REF!</v>
      </c>
      <c r="M218" s="107" t="e">
        <f>SUM(#REF!)</f>
        <v>#REF!</v>
      </c>
      <c r="N218" s="1292"/>
      <c r="O218" s="1293"/>
      <c r="P218" s="1293"/>
      <c r="Q218" s="1294"/>
      <c r="R218" s="6"/>
      <c r="S218" s="6"/>
      <c r="T218" s="6"/>
    </row>
    <row r="219" spans="1:20" ht="30" x14ac:dyDescent="0.25">
      <c r="A219" s="210" t="s">
        <v>147</v>
      </c>
      <c r="B219" s="129" t="s">
        <v>148</v>
      </c>
      <c r="C219" s="129" t="s">
        <v>287</v>
      </c>
      <c r="D219" s="1299"/>
      <c r="E219" s="1299"/>
      <c r="F219" s="1299"/>
      <c r="G219" s="1299"/>
      <c r="H219" s="1300"/>
      <c r="I219" s="1301"/>
      <c r="J219" s="1300"/>
      <c r="K219" s="1301"/>
      <c r="L219" s="128"/>
      <c r="M219" s="128"/>
      <c r="N219" s="1292"/>
      <c r="O219" s="1293"/>
      <c r="P219" s="1293"/>
      <c r="Q219" s="1294"/>
      <c r="R219" s="6"/>
      <c r="S219" s="6"/>
      <c r="T219" s="6"/>
    </row>
    <row r="220" spans="1:20" x14ac:dyDescent="0.25">
      <c r="A220" s="207" t="s">
        <v>149</v>
      </c>
      <c r="B220" s="435"/>
      <c r="C220" s="435"/>
      <c r="D220" s="1071">
        <f>$D$3*60000*(I181+J181)</f>
        <v>0</v>
      </c>
      <c r="E220" s="1071"/>
      <c r="F220" s="435"/>
      <c r="G220" s="435"/>
      <c r="H220" s="1255"/>
      <c r="I220" s="1255"/>
      <c r="J220" s="1281" t="e">
        <f>F220/G220</f>
        <v>#DIV/0!</v>
      </c>
      <c r="K220" s="1282"/>
      <c r="L220" s="319" t="e">
        <f>M220/H220</f>
        <v>#REF!</v>
      </c>
      <c r="M220" s="107" t="e">
        <f>SUM(#REF!)</f>
        <v>#REF!</v>
      </c>
      <c r="N220" s="1292"/>
      <c r="O220" s="1293"/>
      <c r="P220" s="1293"/>
      <c r="Q220" s="1294"/>
      <c r="R220" s="6"/>
      <c r="S220" s="6"/>
      <c r="T220" s="6"/>
    </row>
    <row r="221" spans="1:20" x14ac:dyDescent="0.25">
      <c r="A221" s="207" t="s">
        <v>150</v>
      </c>
      <c r="B221" s="435"/>
      <c r="C221" s="435"/>
      <c r="D221" s="1071"/>
      <c r="E221" s="1071"/>
      <c r="F221" s="435"/>
      <c r="G221" s="435"/>
      <c r="H221" s="1255"/>
      <c r="I221" s="1255"/>
      <c r="J221" s="1281" t="e">
        <f>F221/G221</f>
        <v>#DIV/0!</v>
      </c>
      <c r="K221" s="1282"/>
      <c r="L221" s="319" t="e">
        <f>M221/H221</f>
        <v>#REF!</v>
      </c>
      <c r="M221" s="107" t="e">
        <f>SUM(#REF!)</f>
        <v>#REF!</v>
      </c>
      <c r="N221" s="1292"/>
      <c r="O221" s="1293"/>
      <c r="P221" s="1293"/>
      <c r="Q221" s="1294"/>
      <c r="R221" s="6"/>
      <c r="S221" s="6"/>
      <c r="T221" s="6"/>
    </row>
    <row r="222" spans="1:20" x14ac:dyDescent="0.25">
      <c r="A222" s="207" t="s">
        <v>151</v>
      </c>
      <c r="B222" s="435"/>
      <c r="C222" s="435"/>
      <c r="D222" s="1071"/>
      <c r="E222" s="1071"/>
      <c r="F222" s="435"/>
      <c r="G222" s="435"/>
      <c r="H222" s="1255"/>
      <c r="I222" s="1255"/>
      <c r="J222" s="1281" t="e">
        <f>F222/G222</f>
        <v>#DIV/0!</v>
      </c>
      <c r="K222" s="1282"/>
      <c r="L222" s="319" t="e">
        <f>M222/H222</f>
        <v>#REF!</v>
      </c>
      <c r="M222" s="107" t="e">
        <f>SUM(#REF!)</f>
        <v>#REF!</v>
      </c>
      <c r="N222" s="1292"/>
      <c r="O222" s="1293"/>
      <c r="P222" s="1293"/>
      <c r="Q222" s="1294"/>
      <c r="R222" s="6"/>
      <c r="S222" s="6"/>
      <c r="T222" s="6"/>
    </row>
    <row r="223" spans="1:20" x14ac:dyDescent="0.25">
      <c r="A223" s="207" t="s">
        <v>152</v>
      </c>
      <c r="B223" s="435"/>
      <c r="C223" s="435"/>
      <c r="D223" s="1071"/>
      <c r="E223" s="1071"/>
      <c r="F223" s="435"/>
      <c r="G223" s="435"/>
      <c r="H223" s="1255"/>
      <c r="I223" s="1255"/>
      <c r="J223" s="1281" t="e">
        <f>F223/G223</f>
        <v>#DIV/0!</v>
      </c>
      <c r="K223" s="1282"/>
      <c r="L223" s="319" t="e">
        <f>M223/H223</f>
        <v>#REF!</v>
      </c>
      <c r="M223" s="107" t="e">
        <f>SUM(#REF!)</f>
        <v>#REF!</v>
      </c>
      <c r="N223" s="1292"/>
      <c r="O223" s="1293"/>
      <c r="P223" s="1293"/>
      <c r="Q223" s="1294"/>
      <c r="R223" s="6"/>
      <c r="S223" s="6"/>
      <c r="T223" s="6"/>
    </row>
    <row r="224" spans="1:20" ht="34.5" customHeight="1" x14ac:dyDescent="0.25">
      <c r="A224" s="229" t="s">
        <v>153</v>
      </c>
      <c r="B224" s="129" t="s">
        <v>288</v>
      </c>
      <c r="C224" s="129" t="s">
        <v>287</v>
      </c>
      <c r="D224" s="1299"/>
      <c r="E224" s="1299"/>
      <c r="F224" s="1321"/>
      <c r="G224" s="1321"/>
      <c r="H224" s="1300"/>
      <c r="I224" s="1301"/>
      <c r="J224" s="1300"/>
      <c r="K224" s="1301"/>
      <c r="L224" s="128"/>
      <c r="M224" s="128"/>
      <c r="N224" s="1292"/>
      <c r="O224" s="1293"/>
      <c r="P224" s="1293"/>
      <c r="Q224" s="1294"/>
      <c r="R224" s="6"/>
      <c r="S224" s="6"/>
      <c r="T224" s="6"/>
    </row>
    <row r="225" spans="1:20" ht="32.25" customHeight="1" x14ac:dyDescent="0.25">
      <c r="A225" s="209" t="s">
        <v>154</v>
      </c>
      <c r="B225" s="437"/>
      <c r="C225" s="435">
        <v>0</v>
      </c>
      <c r="D225" s="1255">
        <f>$D$3*C225*30000</f>
        <v>0</v>
      </c>
      <c r="E225" s="1255"/>
      <c r="F225" s="435">
        <v>0</v>
      </c>
      <c r="G225" s="435">
        <v>0</v>
      </c>
      <c r="H225" s="1255">
        <v>0</v>
      </c>
      <c r="I225" s="1255" t="e">
        <f>SUM(#REF!)</f>
        <v>#REF!</v>
      </c>
      <c r="J225" s="1281" t="e">
        <f>F225/G225</f>
        <v>#DIV/0!</v>
      </c>
      <c r="K225" s="1282"/>
      <c r="L225" s="347" t="e">
        <f>M225/H225</f>
        <v>#REF!</v>
      </c>
      <c r="M225" s="107" t="e">
        <f>SUM(#REF!)</f>
        <v>#REF!</v>
      </c>
      <c r="N225" s="1292"/>
      <c r="O225" s="1293"/>
      <c r="P225" s="1293"/>
      <c r="Q225" s="1294"/>
      <c r="R225" s="6"/>
      <c r="S225" s="6"/>
      <c r="T225" s="6"/>
    </row>
    <row r="226" spans="1:20" ht="35.25" customHeight="1" x14ac:dyDescent="0.25">
      <c r="A226" s="209" t="s">
        <v>155</v>
      </c>
      <c r="B226" s="437"/>
      <c r="C226" s="435">
        <v>0</v>
      </c>
      <c r="D226" s="1255"/>
      <c r="E226" s="1255"/>
      <c r="F226" s="435">
        <v>0</v>
      </c>
      <c r="G226" s="435">
        <v>0</v>
      </c>
      <c r="H226" s="1255">
        <v>0</v>
      </c>
      <c r="I226" s="1255" t="e">
        <f>SUM(#REF!)</f>
        <v>#REF!</v>
      </c>
      <c r="J226" s="1281" t="e">
        <f>F226/G226</f>
        <v>#DIV/0!</v>
      </c>
      <c r="K226" s="1282"/>
      <c r="L226" s="347">
        <v>1</v>
      </c>
      <c r="M226" s="107">
        <f>L226*H226</f>
        <v>0</v>
      </c>
      <c r="N226" s="1292"/>
      <c r="O226" s="1293"/>
      <c r="P226" s="1293"/>
      <c r="Q226" s="1294"/>
      <c r="R226" s="6"/>
      <c r="S226" s="6"/>
      <c r="T226" s="6"/>
    </row>
    <row r="227" spans="1:20" x14ac:dyDescent="0.25">
      <c r="A227" s="1283" t="s">
        <v>156</v>
      </c>
      <c r="B227" s="1284"/>
      <c r="C227" s="211"/>
      <c r="D227" s="1321"/>
      <c r="E227" s="1321"/>
      <c r="F227" s="1321"/>
      <c r="G227" s="1321"/>
      <c r="H227" s="1300"/>
      <c r="I227" s="1301"/>
      <c r="J227" s="1300"/>
      <c r="K227" s="1301"/>
      <c r="L227" s="128"/>
      <c r="M227" s="128"/>
      <c r="N227" s="1292"/>
      <c r="O227" s="1293"/>
      <c r="P227" s="1293"/>
      <c r="Q227" s="1294"/>
      <c r="R227" s="6"/>
      <c r="S227" s="6"/>
      <c r="T227" s="6"/>
    </row>
    <row r="228" spans="1:20" ht="30" customHeight="1" x14ac:dyDescent="0.25">
      <c r="A228" s="1278" t="s">
        <v>157</v>
      </c>
      <c r="B228" s="1279"/>
      <c r="C228" s="212"/>
      <c r="D228" s="1322"/>
      <c r="E228" s="1322"/>
      <c r="F228" s="435"/>
      <c r="G228" s="435"/>
      <c r="H228" s="1255"/>
      <c r="I228" s="1255"/>
      <c r="J228" s="1281" t="e">
        <f>F228/G228</f>
        <v>#DIV/0!</v>
      </c>
      <c r="K228" s="1282"/>
      <c r="L228" s="347" t="e">
        <f>M228/H228</f>
        <v>#REF!</v>
      </c>
      <c r="M228" s="107" t="e">
        <f>SUM(#REF!)</f>
        <v>#REF!</v>
      </c>
      <c r="N228" s="1292"/>
      <c r="O228" s="1293"/>
      <c r="P228" s="1293"/>
      <c r="Q228" s="1294"/>
      <c r="R228" s="6"/>
      <c r="S228" s="6"/>
      <c r="T228" s="6"/>
    </row>
    <row r="229" spans="1:20" x14ac:dyDescent="0.25">
      <c r="A229" s="1283" t="s">
        <v>158</v>
      </c>
      <c r="B229" s="1284"/>
      <c r="C229" s="211"/>
      <c r="D229" s="1321"/>
      <c r="E229" s="1321"/>
      <c r="F229" s="1321"/>
      <c r="G229" s="1321"/>
      <c r="H229" s="1300"/>
      <c r="I229" s="1301"/>
      <c r="J229" s="1300"/>
      <c r="K229" s="1301"/>
      <c r="L229" s="128"/>
      <c r="M229" s="128"/>
      <c r="N229" s="1292"/>
      <c r="O229" s="1293"/>
      <c r="P229" s="1293"/>
      <c r="Q229" s="1294"/>
      <c r="R229" s="6"/>
      <c r="S229" s="6"/>
      <c r="T229" s="6"/>
    </row>
    <row r="230" spans="1:20" x14ac:dyDescent="0.25">
      <c r="A230" s="1278" t="s">
        <v>159</v>
      </c>
      <c r="B230" s="1279"/>
      <c r="C230" s="435"/>
      <c r="D230" s="1313"/>
      <c r="E230" s="1313"/>
      <c r="F230" s="435"/>
      <c r="G230" s="435"/>
      <c r="H230" s="1255"/>
      <c r="I230" s="1255"/>
      <c r="J230" s="1281" t="e">
        <f>F230/G230</f>
        <v>#DIV/0!</v>
      </c>
      <c r="K230" s="1282"/>
      <c r="L230" s="347" t="e">
        <f>M230/H230</f>
        <v>#DIV/0!</v>
      </c>
      <c r="M230" s="107"/>
      <c r="N230" s="1292"/>
      <c r="O230" s="1293"/>
      <c r="P230" s="1293"/>
      <c r="Q230" s="1294"/>
      <c r="R230" s="6"/>
      <c r="S230" s="6"/>
      <c r="T230" s="6"/>
    </row>
    <row r="231" spans="1:20" x14ac:dyDescent="0.25">
      <c r="A231" s="1283" t="s">
        <v>160</v>
      </c>
      <c r="B231" s="1284"/>
      <c r="C231" s="211"/>
      <c r="D231" s="1321"/>
      <c r="E231" s="1321"/>
      <c r="F231" s="1321"/>
      <c r="G231" s="1321"/>
      <c r="H231" s="1300"/>
      <c r="I231" s="1301"/>
      <c r="J231" s="1300"/>
      <c r="K231" s="1301"/>
      <c r="L231" s="128"/>
      <c r="M231" s="128"/>
      <c r="N231" s="1292"/>
      <c r="O231" s="1293"/>
      <c r="P231" s="1293"/>
      <c r="Q231" s="1294"/>
      <c r="R231" s="6"/>
      <c r="S231" s="6"/>
      <c r="T231" s="6"/>
    </row>
    <row r="232" spans="1:20" s="9" customFormat="1" x14ac:dyDescent="0.25">
      <c r="A232" s="1278" t="s">
        <v>161</v>
      </c>
      <c r="B232" s="1279"/>
      <c r="C232" s="435"/>
      <c r="D232" s="1255"/>
      <c r="E232" s="1255"/>
      <c r="F232" s="435"/>
      <c r="G232" s="435"/>
      <c r="H232" s="1255"/>
      <c r="I232" s="1255"/>
      <c r="J232" s="1281" t="e">
        <f t="shared" ref="J232:J238" si="22">F232/G232</f>
        <v>#DIV/0!</v>
      </c>
      <c r="K232" s="1282"/>
      <c r="L232" s="347" t="e">
        <f>M232/H232</f>
        <v>#REF!</v>
      </c>
      <c r="M232" s="107" t="e">
        <f>SUM(#REF!)</f>
        <v>#REF!</v>
      </c>
      <c r="N232" s="1292"/>
      <c r="O232" s="1293"/>
      <c r="P232" s="1293"/>
      <c r="Q232" s="1294"/>
    </row>
    <row r="233" spans="1:20" s="9" customFormat="1" ht="30" customHeight="1" x14ac:dyDescent="0.25">
      <c r="A233" s="1323" t="s">
        <v>162</v>
      </c>
      <c r="B233" s="1324"/>
      <c r="C233" s="438"/>
      <c r="D233" s="1325"/>
      <c r="E233" s="1326"/>
      <c r="F233" s="439"/>
      <c r="G233" s="439"/>
      <c r="H233" s="1325"/>
      <c r="I233" s="1326"/>
      <c r="J233" s="1327" t="e">
        <f t="shared" si="22"/>
        <v>#DIV/0!</v>
      </c>
      <c r="K233" s="1328"/>
      <c r="L233" s="94">
        <v>1</v>
      </c>
      <c r="M233" s="107">
        <f>L233*H233</f>
        <v>0</v>
      </c>
      <c r="N233" s="1292"/>
      <c r="O233" s="1293"/>
      <c r="P233" s="1293"/>
      <c r="Q233" s="1294"/>
    </row>
    <row r="234" spans="1:20" s="9" customFormat="1" x14ac:dyDescent="0.25">
      <c r="A234" s="1323" t="s">
        <v>535</v>
      </c>
      <c r="B234" s="1324"/>
      <c r="C234" s="438"/>
      <c r="D234" s="1325"/>
      <c r="E234" s="1326"/>
      <c r="F234" s="439"/>
      <c r="G234" s="439"/>
      <c r="H234" s="1325"/>
      <c r="I234" s="1326"/>
      <c r="J234" s="1327" t="e">
        <f>F234/G234</f>
        <v>#DIV/0!</v>
      </c>
      <c r="K234" s="1328"/>
      <c r="L234" s="94">
        <v>0.7</v>
      </c>
      <c r="M234" s="93">
        <f>L234*H234</f>
        <v>0</v>
      </c>
      <c r="N234" s="1293"/>
      <c r="O234" s="1293"/>
      <c r="P234" s="1293"/>
      <c r="Q234" s="1294"/>
    </row>
    <row r="235" spans="1:20" s="9" customFormat="1" x14ac:dyDescent="0.25">
      <c r="A235" s="1323" t="s">
        <v>567</v>
      </c>
      <c r="B235" s="1324"/>
      <c r="C235" s="438"/>
      <c r="D235" s="1325"/>
      <c r="E235" s="1326"/>
      <c r="F235" s="439"/>
      <c r="G235" s="439"/>
      <c r="H235" s="1325"/>
      <c r="I235" s="1326"/>
      <c r="J235" s="1327"/>
      <c r="K235" s="1328"/>
      <c r="L235" s="94">
        <v>0.7</v>
      </c>
      <c r="M235" s="93">
        <f>L235*H235</f>
        <v>0</v>
      </c>
      <c r="N235" s="1293"/>
      <c r="O235" s="1293"/>
      <c r="P235" s="1293"/>
      <c r="Q235" s="1294"/>
    </row>
    <row r="236" spans="1:20" s="9" customFormat="1" x14ac:dyDescent="0.25">
      <c r="A236" s="1323" t="s">
        <v>568</v>
      </c>
      <c r="B236" s="1324"/>
      <c r="C236" s="438"/>
      <c r="D236" s="1325"/>
      <c r="E236" s="1326"/>
      <c r="F236" s="439"/>
      <c r="G236" s="439"/>
      <c r="H236" s="1325"/>
      <c r="I236" s="1326"/>
      <c r="J236" s="1327" t="e">
        <f>F236/G236</f>
        <v>#DIV/0!</v>
      </c>
      <c r="K236" s="1328"/>
      <c r="L236" s="94">
        <v>0.7</v>
      </c>
      <c r="M236" s="93">
        <f>L236*H236</f>
        <v>0</v>
      </c>
      <c r="N236" s="1293"/>
      <c r="O236" s="1293"/>
      <c r="P236" s="1293"/>
      <c r="Q236" s="1294"/>
    </row>
    <row r="237" spans="1:20" s="9" customFormat="1" ht="15.75" thickBot="1" x14ac:dyDescent="0.3">
      <c r="A237" s="1323" t="s">
        <v>536</v>
      </c>
      <c r="B237" s="1324"/>
      <c r="C237" s="438"/>
      <c r="D237" s="1325"/>
      <c r="E237" s="1326"/>
      <c r="F237" s="439"/>
      <c r="G237" s="439"/>
      <c r="H237" s="1325"/>
      <c r="I237" s="1326"/>
      <c r="J237" s="1327" t="e">
        <f>F237/G237</f>
        <v>#DIV/0!</v>
      </c>
      <c r="K237" s="1328"/>
      <c r="L237" s="94">
        <v>1</v>
      </c>
      <c r="M237" s="93">
        <f>L237*H237</f>
        <v>0</v>
      </c>
      <c r="N237" s="1293"/>
      <c r="O237" s="1293"/>
      <c r="P237" s="1293"/>
      <c r="Q237" s="1294"/>
    </row>
    <row r="238" spans="1:20" ht="15.75" thickBot="1" x14ac:dyDescent="0.3">
      <c r="A238" s="1336" t="s">
        <v>163</v>
      </c>
      <c r="B238" s="1337"/>
      <c r="C238" s="1337"/>
      <c r="D238" s="1338">
        <f>SUM(D190,D193,D194,D203,D207:E209,D211:E213,D215:E218,D220,D225,D230,D232,D233:E237)</f>
        <v>0</v>
      </c>
      <c r="E238" s="1338"/>
      <c r="F238" s="121">
        <f>SUM(F190,F193,F194,F203,F207:G209,F211:G213,F215:G218,F220,F225,F230,F232,F233:G237)</f>
        <v>0</v>
      </c>
      <c r="G238" s="121">
        <f>SUM(G190,G193,G194,G203,G207:H209,G211:H213,G215:H218,G220,G225,G230,G232,G233:H237)</f>
        <v>0</v>
      </c>
      <c r="H238" s="1338">
        <f>SUM(H190,H193,H194,H203,H207:I209,H211:I213,H215:I218,H220,H225,H230,H232,H233:I237)</f>
        <v>0</v>
      </c>
      <c r="I238" s="1338"/>
      <c r="J238" s="1339" t="e">
        <f t="shared" si="22"/>
        <v>#DIV/0!</v>
      </c>
      <c r="K238" s="1340"/>
      <c r="L238" s="130" t="e">
        <f>M238/H238</f>
        <v>#REF!</v>
      </c>
      <c r="M238" s="121" t="e">
        <f>SUM(M190,M193,M194,M203,M207:M209,M211:M213,M215:M218,M220,M225:M228,M230,M232,M233:M237)</f>
        <v>#REF!</v>
      </c>
      <c r="N238" s="1295"/>
      <c r="O238" s="1295"/>
      <c r="P238" s="1295"/>
      <c r="Q238" s="1296"/>
      <c r="R238" s="6"/>
      <c r="S238" s="6"/>
      <c r="T238" s="6"/>
    </row>
    <row r="239" spans="1:20" ht="15.75" thickBot="1" x14ac:dyDescent="0.3">
      <c r="A239" s="257"/>
      <c r="B239" s="6"/>
      <c r="C239" s="6"/>
      <c r="D239" s="6"/>
      <c r="E239" s="6"/>
      <c r="F239" s="6"/>
      <c r="G239" s="6"/>
      <c r="H239" s="6"/>
      <c r="I239" s="6"/>
      <c r="J239" s="6"/>
      <c r="K239" s="6"/>
      <c r="L239" s="6"/>
      <c r="M239" s="6"/>
      <c r="N239" s="6"/>
      <c r="O239" s="6"/>
      <c r="P239" s="6"/>
      <c r="Q239" s="132"/>
      <c r="R239" s="6"/>
      <c r="S239" s="6"/>
      <c r="T239" s="6"/>
    </row>
    <row r="240" spans="1:20" s="133" customFormat="1" ht="20.25" customHeight="1" x14ac:dyDescent="0.3">
      <c r="A240" s="1329" t="s">
        <v>537</v>
      </c>
      <c r="B240" s="1330"/>
      <c r="C240" s="1330"/>
      <c r="D240" s="1330"/>
      <c r="E240" s="1330"/>
      <c r="F240" s="1330"/>
      <c r="G240" s="1330"/>
      <c r="H240" s="1330"/>
      <c r="I240" s="1331"/>
      <c r="J240" s="1125" t="s">
        <v>39</v>
      </c>
      <c r="K240" s="1125"/>
      <c r="L240" s="1125"/>
      <c r="M240" s="1125"/>
      <c r="N240" s="1101" t="s">
        <v>40</v>
      </c>
      <c r="O240" s="1101"/>
      <c r="P240" s="1101"/>
      <c r="Q240" s="1102"/>
    </row>
    <row r="241" spans="1:20" s="9" customFormat="1" ht="12.75" customHeight="1" x14ac:dyDescent="0.25">
      <c r="A241" s="348"/>
      <c r="B241" s="134"/>
      <c r="C241" s="134"/>
      <c r="D241" s="134"/>
      <c r="E241" s="134"/>
      <c r="F241" s="134"/>
      <c r="G241" s="134"/>
      <c r="H241" s="134"/>
      <c r="J241" s="977" t="s">
        <v>72</v>
      </c>
      <c r="K241" s="977"/>
      <c r="L241" s="978" t="s">
        <v>42</v>
      </c>
      <c r="M241" s="978"/>
      <c r="N241" s="979"/>
      <c r="O241" s="945"/>
      <c r="P241" s="945"/>
      <c r="Q241" s="946"/>
    </row>
    <row r="242" spans="1:20" s="9" customFormat="1" ht="38.25" customHeight="1" x14ac:dyDescent="0.25">
      <c r="A242" s="349" t="s">
        <v>43</v>
      </c>
      <c r="B242" s="135" t="s">
        <v>164</v>
      </c>
      <c r="C242" s="1332" t="s">
        <v>114</v>
      </c>
      <c r="D242" s="1332"/>
      <c r="E242" s="1332" t="s">
        <v>75</v>
      </c>
      <c r="F242" s="1332"/>
      <c r="G242" s="1332" t="s">
        <v>76</v>
      </c>
      <c r="H242" s="1332"/>
      <c r="I242" s="1332"/>
      <c r="J242" s="977"/>
      <c r="K242" s="977"/>
      <c r="L242" s="189" t="s">
        <v>49</v>
      </c>
      <c r="M242" s="189" t="s">
        <v>50</v>
      </c>
      <c r="N242" s="980"/>
      <c r="O242" s="947"/>
      <c r="P242" s="947"/>
      <c r="Q242" s="948"/>
    </row>
    <row r="243" spans="1:20" s="9" customFormat="1" ht="25.5" customHeight="1" x14ac:dyDescent="0.25">
      <c r="A243" s="1333" t="s">
        <v>375</v>
      </c>
      <c r="B243" s="1334"/>
      <c r="C243" s="1334"/>
      <c r="D243" s="1334"/>
      <c r="E243" s="1334"/>
      <c r="F243" s="1334"/>
      <c r="G243" s="1334"/>
      <c r="H243" s="1334"/>
      <c r="I243" s="1334"/>
      <c r="J243" s="1334"/>
      <c r="K243" s="1334"/>
      <c r="L243" s="1334"/>
      <c r="M243" s="1335"/>
      <c r="N243" s="980"/>
      <c r="O243" s="947"/>
      <c r="P243" s="947"/>
      <c r="Q243" s="948"/>
    </row>
    <row r="244" spans="1:20" s="9" customFormat="1" ht="15.75" x14ac:dyDescent="0.25">
      <c r="A244" s="350" t="s">
        <v>538</v>
      </c>
      <c r="B244" s="1342">
        <f>(1*$D$3*(IF(H9&gt;300,"700000",IF(H9&gt;200,"500000","300000"))))+($D$3*($H$9/10)*15000)</f>
        <v>300000</v>
      </c>
      <c r="C244" s="1341"/>
      <c r="D244" s="1341"/>
      <c r="E244" s="1341"/>
      <c r="F244" s="1341"/>
      <c r="G244" s="1341"/>
      <c r="H244" s="1341"/>
      <c r="I244" s="1341"/>
      <c r="J244" s="1281" t="e">
        <f>C244/E244</f>
        <v>#DIV/0!</v>
      </c>
      <c r="K244" s="1282"/>
      <c r="L244" s="318">
        <v>1</v>
      </c>
      <c r="M244" s="107">
        <f>L244*G244</f>
        <v>0</v>
      </c>
      <c r="N244" s="980"/>
      <c r="O244" s="947"/>
      <c r="P244" s="947"/>
      <c r="Q244" s="948"/>
    </row>
    <row r="245" spans="1:20" s="9" customFormat="1" ht="15.75" x14ac:dyDescent="0.25">
      <c r="A245" s="350" t="s">
        <v>539</v>
      </c>
      <c r="B245" s="1343"/>
      <c r="C245" s="1341"/>
      <c r="D245" s="1341"/>
      <c r="E245" s="1341"/>
      <c r="F245" s="1341"/>
      <c r="G245" s="1341"/>
      <c r="H245" s="1341"/>
      <c r="I245" s="1341"/>
      <c r="J245" s="1281" t="e">
        <f>C245/E245</f>
        <v>#DIV/0!</v>
      </c>
      <c r="K245" s="1282"/>
      <c r="L245" s="318"/>
      <c r="M245" s="107">
        <f>L245*G245</f>
        <v>0</v>
      </c>
      <c r="N245" s="980"/>
      <c r="O245" s="947"/>
      <c r="P245" s="947"/>
      <c r="Q245" s="948"/>
    </row>
    <row r="246" spans="1:20" s="9" customFormat="1" ht="15.75" x14ac:dyDescent="0.25">
      <c r="A246" s="350" t="s">
        <v>417</v>
      </c>
      <c r="B246" s="1343"/>
      <c r="C246" s="1341"/>
      <c r="D246" s="1341"/>
      <c r="E246" s="1341"/>
      <c r="F246" s="1341"/>
      <c r="G246" s="1341"/>
      <c r="H246" s="1341"/>
      <c r="I246" s="1341"/>
      <c r="J246" s="1281" t="e">
        <f>C246/E246</f>
        <v>#DIV/0!</v>
      </c>
      <c r="K246" s="1282"/>
      <c r="L246" s="318"/>
      <c r="M246" s="107">
        <f>L246*G246</f>
        <v>0</v>
      </c>
      <c r="N246" s="980"/>
      <c r="O246" s="947"/>
      <c r="P246" s="947"/>
      <c r="Q246" s="948"/>
    </row>
    <row r="247" spans="1:20" s="9" customFormat="1" ht="15.75" x14ac:dyDescent="0.25">
      <c r="A247" s="350" t="s">
        <v>418</v>
      </c>
      <c r="B247" s="1343"/>
      <c r="C247" s="1341"/>
      <c r="D247" s="1341"/>
      <c r="E247" s="1341"/>
      <c r="F247" s="1341"/>
      <c r="G247" s="1341"/>
      <c r="H247" s="1341"/>
      <c r="I247" s="1341"/>
      <c r="J247" s="1281" t="e">
        <f>C247/E247</f>
        <v>#DIV/0!</v>
      </c>
      <c r="K247" s="1282"/>
      <c r="L247" s="318"/>
      <c r="M247" s="107">
        <f>L247*G247</f>
        <v>0</v>
      </c>
      <c r="N247" s="980"/>
      <c r="O247" s="947"/>
      <c r="P247" s="947"/>
      <c r="Q247" s="948"/>
    </row>
    <row r="248" spans="1:20" s="9" customFormat="1" ht="15.75" x14ac:dyDescent="0.25">
      <c r="A248" s="350" t="s">
        <v>347</v>
      </c>
      <c r="B248" s="1344"/>
      <c r="C248" s="1341"/>
      <c r="D248" s="1341"/>
      <c r="E248" s="1341"/>
      <c r="F248" s="1341"/>
      <c r="G248" s="1341"/>
      <c r="H248" s="1341"/>
      <c r="I248" s="1341"/>
      <c r="J248" s="1281" t="e">
        <f>C248/E248</f>
        <v>#DIV/0!</v>
      </c>
      <c r="K248" s="1282"/>
      <c r="L248" s="318">
        <v>1</v>
      </c>
      <c r="M248" s="107">
        <f>L248*G248</f>
        <v>0</v>
      </c>
      <c r="N248" s="980"/>
      <c r="O248" s="947"/>
      <c r="P248" s="947"/>
      <c r="Q248" s="948"/>
    </row>
    <row r="249" spans="1:20" s="9" customFormat="1" ht="21" customHeight="1" x14ac:dyDescent="0.25">
      <c r="A249" s="1333" t="s">
        <v>523</v>
      </c>
      <c r="B249" s="1334"/>
      <c r="C249" s="1334"/>
      <c r="D249" s="1334"/>
      <c r="E249" s="1334"/>
      <c r="F249" s="1334"/>
      <c r="G249" s="1334"/>
      <c r="H249" s="1334"/>
      <c r="I249" s="1334"/>
      <c r="J249" s="1334"/>
      <c r="K249" s="1334"/>
      <c r="L249" s="1334"/>
      <c r="M249" s="1335"/>
      <c r="N249" s="980"/>
      <c r="O249" s="947"/>
      <c r="P249" s="947"/>
      <c r="Q249" s="948"/>
    </row>
    <row r="250" spans="1:20" x14ac:dyDescent="0.25">
      <c r="A250" s="136" t="s">
        <v>165</v>
      </c>
      <c r="B250" s="1346">
        <v>0</v>
      </c>
      <c r="C250" s="1345"/>
      <c r="D250" s="1345"/>
      <c r="E250" s="1345"/>
      <c r="F250" s="1345"/>
      <c r="G250" s="1345"/>
      <c r="H250" s="1345"/>
      <c r="I250" s="1345"/>
      <c r="J250" s="1281" t="e">
        <f>C250/E250</f>
        <v>#DIV/0!</v>
      </c>
      <c r="K250" s="1282"/>
      <c r="L250" s="319" t="e">
        <f>M250/G250</f>
        <v>#REF!</v>
      </c>
      <c r="M250" s="107" t="e">
        <f>SUM(#REF!)</f>
        <v>#REF!</v>
      </c>
      <c r="N250" s="980"/>
      <c r="O250" s="947"/>
      <c r="P250" s="947"/>
      <c r="Q250" s="948"/>
      <c r="R250" s="6"/>
      <c r="S250" s="6"/>
      <c r="T250" s="6"/>
    </row>
    <row r="251" spans="1:20" x14ac:dyDescent="0.25">
      <c r="A251" s="136" t="s">
        <v>166</v>
      </c>
      <c r="B251" s="1347"/>
      <c r="C251" s="1345"/>
      <c r="D251" s="1345"/>
      <c r="E251" s="1345"/>
      <c r="F251" s="1345"/>
      <c r="G251" s="1345"/>
      <c r="H251" s="1345"/>
      <c r="I251" s="1345"/>
      <c r="J251" s="1281" t="e">
        <f t="shared" ref="J251:J258" si="23">C251/E251</f>
        <v>#DIV/0!</v>
      </c>
      <c r="K251" s="1282"/>
      <c r="L251" s="319" t="e">
        <f t="shared" ref="L251:L257" si="24">M251/G251</f>
        <v>#REF!</v>
      </c>
      <c r="M251" s="107" t="e">
        <f>SUM(#REF!)</f>
        <v>#REF!</v>
      </c>
      <c r="N251" s="980"/>
      <c r="O251" s="947"/>
      <c r="P251" s="947"/>
      <c r="Q251" s="948"/>
      <c r="R251" s="6"/>
      <c r="S251" s="6"/>
      <c r="T251" s="6"/>
    </row>
    <row r="252" spans="1:20" x14ac:dyDescent="0.25">
      <c r="A252" s="136" t="s">
        <v>167</v>
      </c>
      <c r="B252" s="1347"/>
      <c r="C252" s="1345"/>
      <c r="D252" s="1345"/>
      <c r="E252" s="1345"/>
      <c r="F252" s="1345"/>
      <c r="G252" s="1345"/>
      <c r="H252" s="1345"/>
      <c r="I252" s="1345"/>
      <c r="J252" s="1281" t="e">
        <f t="shared" si="23"/>
        <v>#DIV/0!</v>
      </c>
      <c r="K252" s="1282"/>
      <c r="L252" s="319" t="e">
        <f t="shared" si="24"/>
        <v>#REF!</v>
      </c>
      <c r="M252" s="107" t="e">
        <f>SUM(#REF!)</f>
        <v>#REF!</v>
      </c>
      <c r="N252" s="980"/>
      <c r="O252" s="947"/>
      <c r="P252" s="947"/>
      <c r="Q252" s="948"/>
      <c r="R252" s="6"/>
      <c r="S252" s="6"/>
      <c r="T252" s="6"/>
    </row>
    <row r="253" spans="1:20" x14ac:dyDescent="0.25">
      <c r="A253" s="136" t="s">
        <v>168</v>
      </c>
      <c r="B253" s="1347"/>
      <c r="C253" s="1345"/>
      <c r="D253" s="1345"/>
      <c r="E253" s="1345"/>
      <c r="F253" s="1345"/>
      <c r="G253" s="1345"/>
      <c r="H253" s="1345"/>
      <c r="I253" s="1345"/>
      <c r="J253" s="1281" t="e">
        <f t="shared" si="23"/>
        <v>#DIV/0!</v>
      </c>
      <c r="K253" s="1282"/>
      <c r="L253" s="319" t="e">
        <f t="shared" si="24"/>
        <v>#REF!</v>
      </c>
      <c r="M253" s="107" t="e">
        <f>SUM(#REF!)</f>
        <v>#REF!</v>
      </c>
      <c r="N253" s="980"/>
      <c r="O253" s="947"/>
      <c r="P253" s="947"/>
      <c r="Q253" s="948"/>
      <c r="R253" s="6"/>
      <c r="S253" s="6"/>
      <c r="T253" s="6"/>
    </row>
    <row r="254" spans="1:20" ht="28.5" x14ac:dyDescent="0.25">
      <c r="A254" s="136" t="s">
        <v>169</v>
      </c>
      <c r="B254" s="1347"/>
      <c r="C254" s="1345"/>
      <c r="D254" s="1345"/>
      <c r="E254" s="1345"/>
      <c r="F254" s="1345"/>
      <c r="G254" s="1345"/>
      <c r="H254" s="1345"/>
      <c r="I254" s="1345"/>
      <c r="J254" s="1281" t="e">
        <f t="shared" si="23"/>
        <v>#DIV/0!</v>
      </c>
      <c r="K254" s="1282"/>
      <c r="L254" s="319" t="e">
        <f t="shared" si="24"/>
        <v>#REF!</v>
      </c>
      <c r="M254" s="107" t="e">
        <f>SUM(#REF!)</f>
        <v>#REF!</v>
      </c>
      <c r="N254" s="980"/>
      <c r="O254" s="947"/>
      <c r="P254" s="947"/>
      <c r="Q254" s="948"/>
      <c r="R254" s="6"/>
      <c r="S254" s="6"/>
      <c r="T254" s="6"/>
    </row>
    <row r="255" spans="1:20" x14ac:dyDescent="0.25">
      <c r="A255" s="351" t="s">
        <v>170</v>
      </c>
      <c r="B255" s="1348"/>
      <c r="C255" s="1345"/>
      <c r="D255" s="1345"/>
      <c r="E255" s="1345"/>
      <c r="F255" s="1345"/>
      <c r="G255" s="1345"/>
      <c r="H255" s="1345"/>
      <c r="I255" s="1345"/>
      <c r="J255" s="1281" t="e">
        <f t="shared" si="23"/>
        <v>#DIV/0!</v>
      </c>
      <c r="K255" s="1282"/>
      <c r="L255" s="319" t="e">
        <f t="shared" si="24"/>
        <v>#REF!</v>
      </c>
      <c r="M255" s="107" t="e">
        <f>SUM(#REF!)</f>
        <v>#REF!</v>
      </c>
      <c r="N255" s="980"/>
      <c r="O255" s="947"/>
      <c r="P255" s="947"/>
      <c r="Q255" s="948"/>
      <c r="R255" s="6"/>
      <c r="S255" s="6"/>
      <c r="T255" s="6"/>
    </row>
    <row r="256" spans="1:20" x14ac:dyDescent="0.25">
      <c r="A256" s="136" t="s">
        <v>171</v>
      </c>
      <c r="B256" s="23">
        <v>0</v>
      </c>
      <c r="C256" s="1345"/>
      <c r="D256" s="1345"/>
      <c r="E256" s="1345"/>
      <c r="F256" s="1345"/>
      <c r="G256" s="1345"/>
      <c r="H256" s="1345"/>
      <c r="I256" s="1345"/>
      <c r="J256" s="1281" t="e">
        <f t="shared" si="23"/>
        <v>#DIV/0!</v>
      </c>
      <c r="K256" s="1282"/>
      <c r="L256" s="319" t="e">
        <f t="shared" si="24"/>
        <v>#REF!</v>
      </c>
      <c r="M256" s="107" t="e">
        <f>SUM(#REF!)</f>
        <v>#REF!</v>
      </c>
      <c r="N256" s="980"/>
      <c r="O256" s="947"/>
      <c r="P256" s="947"/>
      <c r="Q256" s="948"/>
      <c r="R256" s="6"/>
      <c r="S256" s="6"/>
      <c r="T256" s="6"/>
    </row>
    <row r="257" spans="1:20" ht="15.75" thickBot="1" x14ac:dyDescent="0.3">
      <c r="A257" s="137" t="s">
        <v>138</v>
      </c>
      <c r="B257" s="269">
        <v>0</v>
      </c>
      <c r="C257" s="1349"/>
      <c r="D257" s="1349"/>
      <c r="E257" s="1349"/>
      <c r="F257" s="1349"/>
      <c r="G257" s="1349"/>
      <c r="H257" s="1349"/>
      <c r="I257" s="1349"/>
      <c r="J257" s="1350" t="e">
        <f t="shared" si="23"/>
        <v>#DIV/0!</v>
      </c>
      <c r="K257" s="1351"/>
      <c r="L257" s="94" t="e">
        <f t="shared" si="24"/>
        <v>#REF!</v>
      </c>
      <c r="M257" s="96" t="e">
        <f>SUM(#REF!)</f>
        <v>#REF!</v>
      </c>
      <c r="N257" s="980"/>
      <c r="O257" s="947"/>
      <c r="P257" s="947"/>
      <c r="Q257" s="948"/>
      <c r="R257" s="6"/>
      <c r="S257" s="6"/>
      <c r="T257" s="6"/>
    </row>
    <row r="258" spans="1:20" ht="15.75" thickBot="1" x14ac:dyDescent="0.3">
      <c r="A258" s="352" t="s">
        <v>2</v>
      </c>
      <c r="B258" s="214">
        <f>SUM(B244,B250:B257)</f>
        <v>300000</v>
      </c>
      <c r="C258" s="1352">
        <f>SUM(C244:D248,C250:D257)</f>
        <v>0</v>
      </c>
      <c r="D258" s="1353">
        <f t="shared" ref="D258:I258" si="25">SUM(D244,D250:D257)</f>
        <v>0</v>
      </c>
      <c r="E258" s="1352">
        <f>SUM(E244:F248,E250:F257)</f>
        <v>0</v>
      </c>
      <c r="F258" s="1353">
        <f>SUM(F244,F250:F257)</f>
        <v>0</v>
      </c>
      <c r="G258" s="1352">
        <f>SUM(G244:I248,G250:I257)</f>
        <v>0</v>
      </c>
      <c r="H258" s="1354">
        <f t="shared" si="25"/>
        <v>0</v>
      </c>
      <c r="I258" s="1353">
        <f t="shared" si="25"/>
        <v>0</v>
      </c>
      <c r="J258" s="1355" t="e">
        <f t="shared" si="23"/>
        <v>#DIV/0!</v>
      </c>
      <c r="K258" s="1356"/>
      <c r="L258" s="138" t="e">
        <f>M258/G258</f>
        <v>#REF!</v>
      </c>
      <c r="M258" s="131" t="e">
        <f>SUM(M244:M248,M250:M257)</f>
        <v>#REF!</v>
      </c>
      <c r="N258" s="949"/>
      <c r="O258" s="949"/>
      <c r="P258" s="949"/>
      <c r="Q258" s="950"/>
      <c r="R258" s="6"/>
      <c r="S258" s="6"/>
      <c r="T258" s="6"/>
    </row>
    <row r="259" spans="1:20" s="9" customFormat="1" ht="15.75" thickBot="1" x14ac:dyDescent="0.3">
      <c r="B259" s="81"/>
      <c r="C259" s="81"/>
      <c r="D259" s="139"/>
      <c r="E259" s="139"/>
      <c r="F259" s="139"/>
      <c r="G259" s="139"/>
      <c r="H259" s="139"/>
      <c r="I259" s="139"/>
      <c r="J259" s="140"/>
      <c r="K259" s="141"/>
      <c r="L259" s="140"/>
      <c r="M259" s="142"/>
      <c r="N259" s="34"/>
      <c r="O259" s="34"/>
      <c r="P259" s="34"/>
      <c r="Q259" s="34"/>
    </row>
    <row r="260" spans="1:20" s="143" customFormat="1" ht="15.75" customHeight="1" x14ac:dyDescent="0.25">
      <c r="A260" s="1066" t="s">
        <v>14</v>
      </c>
      <c r="B260" s="1067"/>
      <c r="C260" s="1067"/>
      <c r="D260" s="1067"/>
      <c r="E260" s="1067"/>
      <c r="F260" s="1067"/>
      <c r="G260" s="1067"/>
      <c r="H260" s="1067"/>
      <c r="I260" s="1067"/>
      <c r="J260" s="1125" t="s">
        <v>39</v>
      </c>
      <c r="K260" s="1125"/>
      <c r="L260" s="1125"/>
      <c r="M260" s="1125"/>
      <c r="N260" s="1211" t="s">
        <v>40</v>
      </c>
      <c r="O260" s="1211"/>
      <c r="P260" s="1211"/>
      <c r="Q260" s="1212"/>
      <c r="S260" s="144"/>
      <c r="T260" s="144"/>
    </row>
    <row r="261" spans="1:20" s="9" customFormat="1" ht="15.75" customHeight="1" x14ac:dyDescent="0.25">
      <c r="A261" s="348"/>
      <c r="B261" s="145"/>
      <c r="C261" s="145"/>
      <c r="D261" s="145"/>
      <c r="E261" s="145"/>
      <c r="F261" s="145"/>
      <c r="H261" s="145"/>
      <c r="I261" s="145"/>
      <c r="J261" s="1332" t="s">
        <v>72</v>
      </c>
      <c r="K261" s="1332"/>
      <c r="L261" s="978" t="s">
        <v>42</v>
      </c>
      <c r="M261" s="978"/>
      <c r="N261" s="945"/>
      <c r="O261" s="945"/>
      <c r="P261" s="945"/>
      <c r="Q261" s="946"/>
      <c r="S261" s="104"/>
      <c r="T261" s="104"/>
    </row>
    <row r="262" spans="1:20" s="9" customFormat="1" ht="57" customHeight="1" x14ac:dyDescent="0.25">
      <c r="A262" s="308" t="s">
        <v>525</v>
      </c>
      <c r="B262" s="1332" t="s">
        <v>114</v>
      </c>
      <c r="C262" s="1332"/>
      <c r="D262" s="1332" t="s">
        <v>172</v>
      </c>
      <c r="E262" s="1332"/>
      <c r="F262" s="1332"/>
      <c r="G262" s="381" t="s">
        <v>599</v>
      </c>
      <c r="H262" s="380" t="s">
        <v>598</v>
      </c>
      <c r="I262" s="379" t="s">
        <v>173</v>
      </c>
      <c r="J262" s="1332"/>
      <c r="K262" s="1332"/>
      <c r="L262" s="189" t="s">
        <v>49</v>
      </c>
      <c r="M262" s="189" t="s">
        <v>50</v>
      </c>
      <c r="N262" s="947"/>
      <c r="O262" s="947"/>
      <c r="P262" s="947"/>
      <c r="Q262" s="948"/>
      <c r="S262" s="104"/>
      <c r="T262" s="104"/>
    </row>
    <row r="263" spans="1:20" s="9" customFormat="1" ht="28.5" customHeight="1" x14ac:dyDescent="0.25">
      <c r="A263" s="353" t="s">
        <v>24</v>
      </c>
      <c r="B263" s="1362"/>
      <c r="C263" s="1362"/>
      <c r="D263" s="1362"/>
      <c r="E263" s="1362"/>
      <c r="F263" s="1362"/>
      <c r="G263" s="443"/>
      <c r="H263" s="443"/>
      <c r="I263" s="443"/>
      <c r="J263" s="1363" t="e">
        <f>B263/D263</f>
        <v>#DIV/0!</v>
      </c>
      <c r="K263" s="1363"/>
      <c r="L263" s="258"/>
      <c r="M263" s="50">
        <f>L263*I263</f>
        <v>0</v>
      </c>
      <c r="N263" s="947"/>
      <c r="O263" s="947"/>
      <c r="P263" s="947"/>
      <c r="Q263" s="948"/>
      <c r="S263" s="104"/>
      <c r="T263" s="104"/>
    </row>
    <row r="264" spans="1:20" s="9" customFormat="1" ht="28.5" customHeight="1" thickBot="1" x14ac:dyDescent="0.3">
      <c r="A264" s="354" t="s">
        <v>225</v>
      </c>
      <c r="B264" s="1362"/>
      <c r="C264" s="1362"/>
      <c r="D264" s="1362"/>
      <c r="E264" s="1362"/>
      <c r="F264" s="1362"/>
      <c r="G264" s="444"/>
      <c r="H264" s="443"/>
      <c r="I264" s="443"/>
      <c r="J264" s="1364" t="e">
        <f>B264/D264</f>
        <v>#DIV/0!</v>
      </c>
      <c r="K264" s="1364"/>
      <c r="L264" s="355" t="e">
        <f>M264/I264</f>
        <v>#REF!</v>
      </c>
      <c r="M264" s="51" t="e">
        <f>SUM(#REF!)</f>
        <v>#REF!</v>
      </c>
      <c r="N264" s="947"/>
      <c r="O264" s="947"/>
      <c r="P264" s="947"/>
      <c r="Q264" s="948"/>
    </row>
    <row r="265" spans="1:20" s="9" customFormat="1" ht="28.5" customHeight="1" thickBot="1" x14ac:dyDescent="0.3">
      <c r="A265" s="356" t="s">
        <v>2</v>
      </c>
      <c r="B265" s="1357">
        <f>SUM(B263:C264)</f>
        <v>0</v>
      </c>
      <c r="C265" s="1357"/>
      <c r="D265" s="1357">
        <f>SUM(D263:F264)</f>
        <v>0</v>
      </c>
      <c r="E265" s="1357"/>
      <c r="F265" s="1357"/>
      <c r="G265" s="440"/>
      <c r="H265" s="441"/>
      <c r="I265" s="442">
        <f>SUM(H263:I264)</f>
        <v>0</v>
      </c>
      <c r="J265" s="1358" t="e">
        <f>B265/D265</f>
        <v>#DIV/0!</v>
      </c>
      <c r="K265" s="1358"/>
      <c r="L265" s="357" t="e">
        <f>M265/I265</f>
        <v>#REF!</v>
      </c>
      <c r="M265" s="40" t="e">
        <f>SUM(M263:M264)</f>
        <v>#REF!</v>
      </c>
      <c r="N265" s="949"/>
      <c r="O265" s="949"/>
      <c r="P265" s="949"/>
      <c r="Q265" s="950"/>
    </row>
    <row r="266" spans="1:20" s="9" customFormat="1" ht="28.5" customHeight="1" thickBot="1" x14ac:dyDescent="0.3">
      <c r="A266" s="103"/>
      <c r="B266" s="103"/>
      <c r="C266" s="103"/>
      <c r="D266" s="103"/>
      <c r="E266" s="103"/>
      <c r="F266" s="103"/>
      <c r="G266" s="146"/>
      <c r="H266" s="146"/>
      <c r="I266" s="147"/>
      <c r="J266" s="148"/>
      <c r="K266" s="34"/>
      <c r="L266" s="34"/>
      <c r="M266" s="34"/>
      <c r="N266" s="34"/>
    </row>
    <row r="267" spans="1:20" s="133" customFormat="1" ht="17.25" customHeight="1" thickBot="1" x14ac:dyDescent="0.35">
      <c r="A267" s="1359" t="s">
        <v>283</v>
      </c>
      <c r="B267" s="1360"/>
      <c r="C267" s="1360"/>
      <c r="D267" s="1360"/>
      <c r="E267" s="1360"/>
      <c r="F267" s="1360"/>
      <c r="G267" s="1360"/>
      <c r="H267" s="1360"/>
      <c r="I267" s="1361"/>
      <c r="J267" s="1125" t="s">
        <v>39</v>
      </c>
      <c r="K267" s="1125"/>
      <c r="L267" s="1125"/>
      <c r="M267" s="1125"/>
      <c r="N267" s="1370" t="s">
        <v>40</v>
      </c>
      <c r="O267" s="1370"/>
      <c r="P267" s="1370"/>
      <c r="Q267" s="1371"/>
    </row>
    <row r="268" spans="1:20" ht="12.75" customHeight="1" x14ac:dyDescent="0.25">
      <c r="A268" s="328"/>
      <c r="B268" s="48"/>
      <c r="C268" s="48"/>
      <c r="D268" s="48"/>
      <c r="E268" s="48"/>
      <c r="F268" s="48"/>
      <c r="G268" s="48"/>
      <c r="H268" s="48"/>
      <c r="I268" s="6"/>
      <c r="J268" s="977" t="s">
        <v>72</v>
      </c>
      <c r="K268" s="977"/>
      <c r="L268" s="978" t="s">
        <v>42</v>
      </c>
      <c r="M268" s="978"/>
      <c r="N268" s="1372"/>
      <c r="O268" s="1372"/>
      <c r="P268" s="1372"/>
      <c r="Q268" s="1373"/>
      <c r="R268" s="6"/>
      <c r="S268" s="6"/>
      <c r="T268" s="6"/>
    </row>
    <row r="269" spans="1:20" ht="27.75" customHeight="1" x14ac:dyDescent="0.25">
      <c r="A269" s="255" t="s">
        <v>525</v>
      </c>
      <c r="B269" s="953" t="s">
        <v>507</v>
      </c>
      <c r="C269" s="953"/>
      <c r="D269" s="1306" t="s">
        <v>114</v>
      </c>
      <c r="E269" s="1306"/>
      <c r="F269" s="1306" t="s">
        <v>75</v>
      </c>
      <c r="G269" s="1306"/>
      <c r="H269" s="1306" t="s">
        <v>76</v>
      </c>
      <c r="I269" s="1306"/>
      <c r="J269" s="977"/>
      <c r="K269" s="977"/>
      <c r="L269" s="189" t="s">
        <v>49</v>
      </c>
      <c r="M269" s="189" t="s">
        <v>50</v>
      </c>
      <c r="N269" s="947"/>
      <c r="O269" s="947"/>
      <c r="P269" s="947"/>
      <c r="Q269" s="948"/>
      <c r="R269" s="6"/>
      <c r="S269" s="6"/>
      <c r="T269" s="6"/>
    </row>
    <row r="270" spans="1:20" ht="27.75" customHeight="1" x14ac:dyDescent="0.25">
      <c r="A270" s="255" t="s">
        <v>24</v>
      </c>
      <c r="B270" s="1367">
        <f>$D$3*($H$9/10)*225000*66%</f>
        <v>0</v>
      </c>
      <c r="C270" s="1367"/>
      <c r="D270" s="1365"/>
      <c r="E270" s="1365"/>
      <c r="F270" s="1365"/>
      <c r="G270" s="1365"/>
      <c r="H270" s="1365"/>
      <c r="I270" s="1365"/>
      <c r="J270" s="1366" t="e">
        <f>D270/F270</f>
        <v>#DIV/0!</v>
      </c>
      <c r="K270" s="1366"/>
      <c r="L270" s="258"/>
      <c r="M270" s="50">
        <f>L270*H270</f>
        <v>0</v>
      </c>
      <c r="N270" s="947"/>
      <c r="O270" s="947"/>
      <c r="P270" s="947"/>
      <c r="Q270" s="948"/>
      <c r="R270" s="6"/>
      <c r="S270" s="6"/>
      <c r="T270" s="6"/>
    </row>
    <row r="271" spans="1:20" ht="15.75" thickBot="1" x14ac:dyDescent="0.3">
      <c r="A271" s="320" t="s">
        <v>225</v>
      </c>
      <c r="B271" s="1367">
        <f>$D$3*($H$9/10)*225000*34%</f>
        <v>0</v>
      </c>
      <c r="C271" s="1367"/>
      <c r="D271" s="1368"/>
      <c r="E271" s="1368"/>
      <c r="F271" s="1368"/>
      <c r="G271" s="1368"/>
      <c r="H271" s="1368"/>
      <c r="I271" s="1368"/>
      <c r="J271" s="1369" t="e">
        <f>D271/F271</f>
        <v>#DIV/0!</v>
      </c>
      <c r="K271" s="1369"/>
      <c r="L271" s="355" t="e">
        <f>M271/H271</f>
        <v>#REF!</v>
      </c>
      <c r="M271" s="51" t="e">
        <f>SUM(#REF!)</f>
        <v>#REF!</v>
      </c>
      <c r="N271" s="947"/>
      <c r="O271" s="947"/>
      <c r="P271" s="947"/>
      <c r="Q271" s="948"/>
      <c r="R271" s="6"/>
      <c r="S271" s="6"/>
      <c r="T271" s="6"/>
    </row>
    <row r="272" spans="1:20" ht="15.75" thickBot="1" x14ac:dyDescent="0.3">
      <c r="A272" s="358" t="s">
        <v>2</v>
      </c>
      <c r="B272" s="1390">
        <f>SUM(B270:C271)</f>
        <v>0</v>
      </c>
      <c r="C272" s="1390"/>
      <c r="D272" s="1391">
        <f>SUM(D270:E271)</f>
        <v>0</v>
      </c>
      <c r="E272" s="1391"/>
      <c r="F272" s="1391">
        <f>SUM(F270:G271)</f>
        <v>0</v>
      </c>
      <c r="G272" s="1391"/>
      <c r="H272" s="1391">
        <f>SUM(H270:I271)</f>
        <v>0</v>
      </c>
      <c r="I272" s="1391"/>
      <c r="J272" s="1392" t="e">
        <f>D272/F272</f>
        <v>#DIV/0!</v>
      </c>
      <c r="K272" s="1392"/>
      <c r="L272" s="357" t="e">
        <f>M272/H272</f>
        <v>#REF!</v>
      </c>
      <c r="M272" s="40" t="e">
        <f>SUM(M270:M271)</f>
        <v>#REF!</v>
      </c>
      <c r="N272" s="949"/>
      <c r="O272" s="949"/>
      <c r="P272" s="949"/>
      <c r="Q272" s="950"/>
      <c r="R272" s="6"/>
      <c r="S272" s="6"/>
      <c r="T272" s="6"/>
    </row>
    <row r="273" spans="1:20" ht="15.75" thickBot="1" x14ac:dyDescent="0.3"/>
    <row r="274" spans="1:20" s="105" customFormat="1" ht="19.5" thickBot="1" x14ac:dyDescent="0.35">
      <c r="A274" s="1393" t="s">
        <v>284</v>
      </c>
      <c r="B274" s="1394"/>
      <c r="C274" s="1394"/>
      <c r="D274" s="1394"/>
      <c r="E274" s="1394"/>
      <c r="F274" s="1394"/>
      <c r="G274" s="1394"/>
      <c r="H274" s="1394"/>
      <c r="I274" s="1395"/>
      <c r="J274" s="1125" t="s">
        <v>39</v>
      </c>
      <c r="K274" s="1125"/>
      <c r="L274" s="1125"/>
      <c r="M274" s="1125"/>
      <c r="N274" s="1370" t="s">
        <v>40</v>
      </c>
      <c r="O274" s="1370"/>
      <c r="P274" s="1370"/>
      <c r="Q274" s="1371"/>
      <c r="T274" s="106"/>
    </row>
    <row r="275" spans="1:20" ht="15.75" x14ac:dyDescent="0.25">
      <c r="A275" s="1374" t="s">
        <v>523</v>
      </c>
      <c r="B275" s="1375"/>
      <c r="C275" s="1375"/>
      <c r="D275" s="1375"/>
      <c r="E275" s="1375"/>
      <c r="F275" s="1375"/>
      <c r="G275" s="1375"/>
      <c r="H275" s="1375"/>
      <c r="I275" s="1376"/>
      <c r="J275" s="978" t="s">
        <v>42</v>
      </c>
      <c r="K275" s="978"/>
      <c r="L275" s="978"/>
      <c r="M275" s="978"/>
      <c r="N275" s="1387"/>
      <c r="O275" s="1387"/>
      <c r="P275" s="1387"/>
      <c r="Q275" s="1387"/>
      <c r="R275" s="6"/>
      <c r="S275" s="6"/>
      <c r="T275" s="6"/>
    </row>
    <row r="276" spans="1:20" x14ac:dyDescent="0.25">
      <c r="A276" s="1377" t="s">
        <v>540</v>
      </c>
      <c r="B276" s="909"/>
      <c r="C276" s="909"/>
      <c r="D276" s="909"/>
      <c r="E276" s="909"/>
      <c r="F276" s="909"/>
      <c r="G276" s="909"/>
      <c r="H276" s="1378">
        <v>0</v>
      </c>
      <c r="I276" s="1379"/>
      <c r="J276" s="978" t="s">
        <v>49</v>
      </c>
      <c r="K276" s="978"/>
      <c r="L276" s="978" t="s">
        <v>50</v>
      </c>
      <c r="M276" s="978"/>
      <c r="N276" s="1187"/>
      <c r="O276" s="1187"/>
      <c r="P276" s="1187"/>
      <c r="Q276" s="1187"/>
      <c r="R276" s="6"/>
      <c r="S276" s="6"/>
      <c r="T276" s="6"/>
    </row>
    <row r="277" spans="1:20" ht="15.75" thickBot="1" x14ac:dyDescent="0.3">
      <c r="A277" s="1384" t="s">
        <v>174</v>
      </c>
      <c r="B277" s="1385"/>
      <c r="C277" s="1385"/>
      <c r="D277" s="1385"/>
      <c r="E277" s="1385"/>
      <c r="F277" s="1385"/>
      <c r="G277" s="1386"/>
      <c r="H277" s="1388">
        <v>0</v>
      </c>
      <c r="I277" s="1389"/>
      <c r="J277" s="1380" t="e">
        <f>L277/H278</f>
        <v>#REF!</v>
      </c>
      <c r="K277" s="1380"/>
      <c r="L277" s="1382" t="e">
        <f>SUM(#REF!)</f>
        <v>#REF!</v>
      </c>
      <c r="M277" s="1382"/>
      <c r="N277" s="1187"/>
      <c r="O277" s="1187"/>
      <c r="P277" s="1187"/>
      <c r="Q277" s="1187"/>
      <c r="R277" s="6"/>
      <c r="S277" s="6"/>
      <c r="T277" s="6"/>
    </row>
    <row r="278" spans="1:20" ht="15.75" thickBot="1" x14ac:dyDescent="0.3">
      <c r="A278" s="1596" t="s">
        <v>541</v>
      </c>
      <c r="B278" s="1597"/>
      <c r="C278" s="1597"/>
      <c r="D278" s="1597"/>
      <c r="E278" s="1597"/>
      <c r="F278" s="1597"/>
      <c r="G278" s="1598"/>
      <c r="H278" s="1599">
        <v>0</v>
      </c>
      <c r="I278" s="1600"/>
      <c r="J278" s="1380"/>
      <c r="K278" s="1380"/>
      <c r="L278" s="1382" t="e">
        <f>SUM(#REF!)</f>
        <v>#REF!</v>
      </c>
      <c r="M278" s="1382"/>
      <c r="N278" s="1187"/>
      <c r="O278" s="1187"/>
      <c r="P278" s="1187"/>
      <c r="Q278" s="1187"/>
      <c r="R278" s="6"/>
      <c r="S278" s="6"/>
      <c r="T278" s="6"/>
    </row>
    <row r="279" spans="1:20" ht="15" customHeight="1" x14ac:dyDescent="0.25">
      <c r="A279" s="1374" t="s">
        <v>375</v>
      </c>
      <c r="B279" s="1375"/>
      <c r="C279" s="1375"/>
      <c r="D279" s="1375"/>
      <c r="E279" s="1375"/>
      <c r="F279" s="1375"/>
      <c r="G279" s="1375"/>
      <c r="H279" s="1375"/>
      <c r="I279" s="1376"/>
      <c r="N279" s="1187"/>
      <c r="O279" s="1187"/>
      <c r="P279" s="1187"/>
      <c r="Q279" s="1187"/>
    </row>
    <row r="280" spans="1:20" ht="15" customHeight="1" x14ac:dyDescent="0.25">
      <c r="A280" s="1377" t="s">
        <v>686</v>
      </c>
      <c r="B280" s="909"/>
      <c r="C280" s="909"/>
      <c r="D280" s="909"/>
      <c r="E280" s="909"/>
      <c r="F280" s="909"/>
      <c r="G280" s="909"/>
      <c r="H280" s="1378"/>
      <c r="I280" s="1379"/>
      <c r="J280" s="1380"/>
      <c r="K280" s="1380"/>
      <c r="L280" s="1382">
        <f>J280*H282</f>
        <v>0</v>
      </c>
      <c r="M280" s="1382"/>
      <c r="N280" s="1187"/>
      <c r="O280" s="1187"/>
      <c r="P280" s="1187"/>
      <c r="Q280" s="1187"/>
    </row>
    <row r="281" spans="1:20" ht="15" customHeight="1" thickBot="1" x14ac:dyDescent="0.3">
      <c r="A281" s="1384" t="s">
        <v>687</v>
      </c>
      <c r="B281" s="1385"/>
      <c r="C281" s="1385"/>
      <c r="D281" s="1385"/>
      <c r="E281" s="1385"/>
      <c r="F281" s="1385"/>
      <c r="G281" s="1386"/>
      <c r="H281" s="1378"/>
      <c r="I281" s="1379"/>
      <c r="J281" s="1380"/>
      <c r="K281" s="1380"/>
      <c r="L281" s="1382"/>
      <c r="M281" s="1382"/>
      <c r="N281" s="1187"/>
      <c r="O281" s="1187"/>
      <c r="P281" s="1187"/>
      <c r="Q281" s="1187"/>
    </row>
    <row r="282" spans="1:20" ht="15" customHeight="1" thickBot="1" x14ac:dyDescent="0.3">
      <c r="A282" s="1591" t="s">
        <v>542</v>
      </c>
      <c r="B282" s="1592"/>
      <c r="C282" s="1592"/>
      <c r="D282" s="1592"/>
      <c r="E282" s="1592"/>
      <c r="F282" s="1592"/>
      <c r="G282" s="1593"/>
      <c r="H282" s="1594"/>
      <c r="I282" s="1595"/>
      <c r="J282" s="1381"/>
      <c r="K282" s="1381"/>
      <c r="L282" s="1383"/>
      <c r="M282" s="1383"/>
      <c r="N282" s="1187"/>
      <c r="O282" s="1187"/>
      <c r="P282" s="1187"/>
      <c r="Q282" s="1187"/>
    </row>
    <row r="283" spans="1:20" ht="15" customHeight="1" thickBot="1" x14ac:dyDescent="0.3">
      <c r="A283" s="1410" t="s">
        <v>175</v>
      </c>
      <c r="B283" s="1411"/>
      <c r="C283" s="1411"/>
      <c r="D283" s="1411"/>
      <c r="E283" s="1411"/>
      <c r="F283" s="1411"/>
      <c r="G283" s="1411"/>
      <c r="H283" s="1404">
        <f>SUM(H278+H282)</f>
        <v>0</v>
      </c>
      <c r="I283" s="1404"/>
      <c r="J283" s="1412" t="e">
        <f>L283/H283</f>
        <v>#REF!</v>
      </c>
      <c r="K283" s="1412"/>
      <c r="L283" s="1404" t="e">
        <f>SUM(L277,L280)</f>
        <v>#REF!</v>
      </c>
      <c r="M283" s="1405"/>
    </row>
    <row r="284" spans="1:20" ht="15.75" thickBot="1" x14ac:dyDescent="0.3"/>
    <row r="285" spans="1:20" s="143" customFormat="1" ht="15.75" customHeight="1" x14ac:dyDescent="0.25">
      <c r="A285" s="1393" t="s">
        <v>285</v>
      </c>
      <c r="B285" s="1394"/>
      <c r="C285" s="1394"/>
      <c r="D285" s="1394"/>
      <c r="E285" s="1394"/>
      <c r="F285" s="1394"/>
      <c r="G285" s="1394"/>
      <c r="H285" s="1394"/>
      <c r="I285" s="1395"/>
      <c r="J285" s="938" t="s">
        <v>39</v>
      </c>
      <c r="K285" s="938"/>
      <c r="L285" s="938"/>
      <c r="M285" s="938"/>
      <c r="N285" s="1068" t="s">
        <v>40</v>
      </c>
      <c r="O285" s="1069"/>
      <c r="P285" s="1069"/>
      <c r="Q285" s="1070"/>
      <c r="R285" s="144"/>
      <c r="S285" s="144"/>
      <c r="T285" s="144"/>
    </row>
    <row r="286" spans="1:20" ht="27.75" customHeight="1" x14ac:dyDescent="0.25">
      <c r="A286" s="1584" t="s">
        <v>276</v>
      </c>
      <c r="B286" s="1585"/>
      <c r="C286" s="1585"/>
      <c r="D286" s="1586" t="s">
        <v>114</v>
      </c>
      <c r="E286" s="1586"/>
      <c r="F286" s="1586" t="s">
        <v>75</v>
      </c>
      <c r="G286" s="1586"/>
      <c r="H286" s="1586" t="s">
        <v>76</v>
      </c>
      <c r="I286" s="1587"/>
      <c r="J286" s="1588" t="s">
        <v>72</v>
      </c>
      <c r="K286" s="1589"/>
      <c r="L286" s="189" t="s">
        <v>49</v>
      </c>
      <c r="M286" s="189" t="s">
        <v>50</v>
      </c>
      <c r="N286" s="1590"/>
      <c r="O286" s="1590"/>
      <c r="P286" s="1590"/>
      <c r="Q286" s="1590"/>
      <c r="R286" s="6"/>
      <c r="S286" s="6"/>
      <c r="T286" s="6"/>
    </row>
    <row r="287" spans="1:20" ht="28.5" customHeight="1" x14ac:dyDescent="0.25">
      <c r="A287" s="170"/>
      <c r="B287" s="995" t="s">
        <v>289</v>
      </c>
      <c r="C287" s="1601"/>
      <c r="D287" s="1586"/>
      <c r="E287" s="1586"/>
      <c r="F287" s="1586"/>
      <c r="G287" s="1586"/>
      <c r="H287" s="1586"/>
      <c r="I287" s="1587"/>
      <c r="J287" s="1607"/>
      <c r="K287" s="1608"/>
      <c r="L287" s="170"/>
      <c r="M287" s="170"/>
      <c r="N287" s="1590"/>
      <c r="O287" s="1590"/>
      <c r="P287" s="1590"/>
      <c r="Q287" s="1590"/>
    </row>
    <row r="288" spans="1:20" ht="15" customHeight="1" x14ac:dyDescent="0.25">
      <c r="A288" s="173" t="s">
        <v>277</v>
      </c>
      <c r="B288" s="1234"/>
      <c r="C288" s="1602"/>
      <c r="D288" s="1603"/>
      <c r="E288" s="1603"/>
      <c r="F288" s="1603"/>
      <c r="G288" s="1603"/>
      <c r="H288" s="1603"/>
      <c r="I288" s="1604"/>
      <c r="J288" s="1605"/>
      <c r="K288" s="1606"/>
      <c r="L288" s="170"/>
      <c r="M288" s="170"/>
      <c r="N288" s="1590"/>
      <c r="O288" s="1590"/>
      <c r="P288" s="1590"/>
      <c r="Q288" s="1590"/>
    </row>
    <row r="289" spans="1:20" ht="15" customHeight="1" x14ac:dyDescent="0.25">
      <c r="A289" s="173" t="s">
        <v>278</v>
      </c>
      <c r="B289" s="1234"/>
      <c r="C289" s="1602"/>
      <c r="D289" s="1603"/>
      <c r="E289" s="1603"/>
      <c r="F289" s="1603"/>
      <c r="G289" s="1603"/>
      <c r="H289" s="1603"/>
      <c r="I289" s="1604"/>
      <c r="J289" s="1605"/>
      <c r="K289" s="1606"/>
      <c r="L289" s="170"/>
      <c r="M289" s="170"/>
      <c r="N289" s="1590"/>
      <c r="O289" s="1590"/>
      <c r="P289" s="1590"/>
      <c r="Q289" s="1590"/>
    </row>
    <row r="290" spans="1:20" ht="15" customHeight="1" x14ac:dyDescent="0.25">
      <c r="A290" s="173" t="s">
        <v>279</v>
      </c>
      <c r="B290" s="1234"/>
      <c r="C290" s="1602"/>
      <c r="D290" s="1603"/>
      <c r="E290" s="1603"/>
      <c r="F290" s="1603"/>
      <c r="G290" s="1603"/>
      <c r="H290" s="1603"/>
      <c r="I290" s="1604"/>
      <c r="J290" s="1605"/>
      <c r="K290" s="1606"/>
      <c r="L290" s="170"/>
      <c r="M290" s="170"/>
      <c r="N290" s="1590"/>
      <c r="O290" s="1590"/>
      <c r="P290" s="1590"/>
      <c r="Q290" s="1590"/>
    </row>
    <row r="291" spans="1:20" ht="15" customHeight="1" x14ac:dyDescent="0.25">
      <c r="A291" s="173" t="s">
        <v>280</v>
      </c>
      <c r="B291" s="1234"/>
      <c r="C291" s="1602"/>
      <c r="D291" s="1603"/>
      <c r="E291" s="1603"/>
      <c r="F291" s="1603"/>
      <c r="G291" s="1603"/>
      <c r="H291" s="1603"/>
      <c r="I291" s="1604"/>
      <c r="J291" s="1605"/>
      <c r="K291" s="1606"/>
      <c r="L291" s="170"/>
      <c r="M291" s="170"/>
      <c r="N291" s="1590"/>
      <c r="O291" s="1590"/>
      <c r="P291" s="1590"/>
      <c r="Q291" s="1590"/>
    </row>
    <row r="292" spans="1:20" x14ac:dyDescent="0.25">
      <c r="A292" s="173" t="s">
        <v>163</v>
      </c>
      <c r="B292" s="995"/>
      <c r="C292" s="1601"/>
      <c r="D292" s="1306">
        <f>SUM(D288:E291)</f>
        <v>0</v>
      </c>
      <c r="E292" s="1306"/>
      <c r="F292" s="1306">
        <f>SUM(F288:G291)</f>
        <v>0</v>
      </c>
      <c r="G292" s="1306"/>
      <c r="H292" s="1306">
        <f>SUM(H288:I291)</f>
        <v>0</v>
      </c>
      <c r="I292" s="1306"/>
      <c r="J292" s="1607"/>
      <c r="K292" s="1608"/>
      <c r="L292" s="170"/>
      <c r="M292" s="170"/>
      <c r="N292" s="1590"/>
      <c r="O292" s="1590"/>
      <c r="P292" s="1590"/>
      <c r="Q292" s="1590"/>
    </row>
    <row r="294" spans="1:20" ht="15.75" thickBot="1" x14ac:dyDescent="0.3"/>
    <row r="295" spans="1:20" s="143" customFormat="1" ht="15.75" customHeight="1" x14ac:dyDescent="0.25">
      <c r="A295" s="1000" t="s">
        <v>286</v>
      </c>
      <c r="B295" s="1001"/>
      <c r="C295" s="1001"/>
      <c r="D295" s="1001"/>
      <c r="E295" s="1001"/>
      <c r="F295" s="1001"/>
      <c r="G295" s="1001"/>
      <c r="H295" s="1001"/>
      <c r="I295" s="1002"/>
      <c r="J295" s="938" t="s">
        <v>39</v>
      </c>
      <c r="K295" s="938"/>
      <c r="L295" s="938"/>
      <c r="M295" s="938"/>
      <c r="N295" s="1068" t="s">
        <v>40</v>
      </c>
      <c r="O295" s="1069"/>
      <c r="P295" s="1069"/>
      <c r="Q295" s="1070"/>
      <c r="R295" s="144"/>
      <c r="S295" s="144"/>
      <c r="T295" s="144"/>
    </row>
    <row r="296" spans="1:20" ht="15" customHeight="1" x14ac:dyDescent="0.25">
      <c r="A296" s="328"/>
      <c r="B296" s="48"/>
      <c r="C296" s="48"/>
      <c r="D296" s="48"/>
      <c r="E296" s="48"/>
      <c r="F296" s="48"/>
      <c r="G296" s="48"/>
      <c r="H296" s="6"/>
      <c r="I296" s="6"/>
      <c r="J296" s="1406" t="s">
        <v>42</v>
      </c>
      <c r="K296" s="1406"/>
      <c r="L296" s="1406"/>
      <c r="M296" s="1406"/>
      <c r="N296" s="1044"/>
      <c r="O296" s="1044"/>
      <c r="P296" s="1044"/>
      <c r="Q296" s="1045"/>
    </row>
    <row r="297" spans="1:20" ht="34.5" customHeight="1" x14ac:dyDescent="0.25">
      <c r="A297" s="149" t="s">
        <v>176</v>
      </c>
      <c r="B297" s="217" t="s">
        <v>514</v>
      </c>
      <c r="C297" s="1407" t="s">
        <v>177</v>
      </c>
      <c r="D297" s="1407"/>
      <c r="E297" s="1408" t="s">
        <v>178</v>
      </c>
      <c r="F297" s="1408"/>
      <c r="G297" s="1408"/>
      <c r="H297" s="1407" t="s">
        <v>76</v>
      </c>
      <c r="I297" s="1409"/>
      <c r="J297" s="978" t="s">
        <v>179</v>
      </c>
      <c r="K297" s="978"/>
      <c r="L297" s="978" t="s">
        <v>50</v>
      </c>
      <c r="M297" s="978"/>
      <c r="N297" s="1047"/>
      <c r="O297" s="1047"/>
      <c r="P297" s="1047"/>
      <c r="Q297" s="1048"/>
    </row>
    <row r="298" spans="1:20" ht="23.25" customHeight="1" x14ac:dyDescent="0.25">
      <c r="A298" s="1401" t="s">
        <v>375</v>
      </c>
      <c r="B298" s="1402"/>
      <c r="C298" s="1402"/>
      <c r="D298" s="1402"/>
      <c r="E298" s="1402"/>
      <c r="F298" s="1402"/>
      <c r="G298" s="1402"/>
      <c r="H298" s="1402"/>
      <c r="I298" s="1402"/>
      <c r="J298" s="1402"/>
      <c r="K298" s="1402"/>
      <c r="L298" s="1402"/>
      <c r="M298" s="1403"/>
      <c r="N298" s="1047"/>
      <c r="O298" s="1047"/>
      <c r="P298" s="1047"/>
      <c r="Q298" s="1048"/>
    </row>
    <row r="299" spans="1:20" ht="34.5" customHeight="1" x14ac:dyDescent="0.25">
      <c r="A299" s="149" t="s">
        <v>543</v>
      </c>
      <c r="B299" s="429"/>
      <c r="C299" s="1396"/>
      <c r="D299" s="1396"/>
      <c r="E299" s="1397">
        <f>$D$3*C299*650000</f>
        <v>0</v>
      </c>
      <c r="F299" s="1397"/>
      <c r="G299" s="1397"/>
      <c r="H299" s="1398"/>
      <c r="I299" s="1398"/>
      <c r="J299" s="1399"/>
      <c r="K299" s="1399"/>
      <c r="L299" s="1400">
        <f>J299*$D$3*650000</f>
        <v>0</v>
      </c>
      <c r="M299" s="1400"/>
      <c r="N299" s="1047"/>
      <c r="O299" s="1047"/>
      <c r="P299" s="1047"/>
      <c r="Q299" s="1048"/>
    </row>
    <row r="300" spans="1:20" ht="34.5" customHeight="1" x14ac:dyDescent="0.25">
      <c r="A300" s="149" t="s">
        <v>544</v>
      </c>
      <c r="B300" s="429"/>
      <c r="C300" s="1396"/>
      <c r="D300" s="1396"/>
      <c r="E300" s="1397">
        <f>$D$3*C300*650000</f>
        <v>0</v>
      </c>
      <c r="F300" s="1397"/>
      <c r="G300" s="1397"/>
      <c r="H300" s="1398"/>
      <c r="I300" s="1398"/>
      <c r="J300" s="1399"/>
      <c r="K300" s="1399"/>
      <c r="L300" s="1400">
        <f>J300*$D$3*650000</f>
        <v>0</v>
      </c>
      <c r="M300" s="1400"/>
      <c r="N300" s="1047"/>
      <c r="O300" s="1047"/>
      <c r="P300" s="1047"/>
      <c r="Q300" s="1048"/>
    </row>
    <row r="301" spans="1:20" ht="22.5" customHeight="1" x14ac:dyDescent="0.25">
      <c r="A301" s="1401" t="s">
        <v>523</v>
      </c>
      <c r="B301" s="1402"/>
      <c r="C301" s="1402"/>
      <c r="D301" s="1402"/>
      <c r="E301" s="1402"/>
      <c r="F301" s="1402"/>
      <c r="G301" s="1402"/>
      <c r="H301" s="1402"/>
      <c r="I301" s="1402"/>
      <c r="J301" s="1402"/>
      <c r="K301" s="1402"/>
      <c r="L301" s="1402"/>
      <c r="M301" s="1403"/>
      <c r="N301" s="1047"/>
      <c r="O301" s="1047"/>
      <c r="P301" s="1047"/>
      <c r="Q301" s="1048"/>
    </row>
    <row r="302" spans="1:20" ht="20.25" customHeight="1" x14ac:dyDescent="0.25">
      <c r="A302" s="1317" t="s">
        <v>180</v>
      </c>
      <c r="B302" s="1420"/>
      <c r="C302" s="1420"/>
      <c r="D302" s="1420"/>
      <c r="E302" s="1420"/>
      <c r="F302" s="1420"/>
      <c r="G302" s="1420"/>
      <c r="H302" s="1420"/>
      <c r="I302" s="1420"/>
      <c r="J302" s="1420"/>
      <c r="K302" s="1420"/>
      <c r="L302" s="1420"/>
      <c r="M302" s="1318"/>
      <c r="N302" s="1046"/>
      <c r="O302" s="1047"/>
      <c r="P302" s="1047"/>
      <c r="Q302" s="1048"/>
    </row>
    <row r="303" spans="1:20" ht="20.25" customHeight="1" x14ac:dyDescent="0.25">
      <c r="A303" s="359" t="s">
        <v>181</v>
      </c>
      <c r="B303" s="433"/>
      <c r="C303" s="1413"/>
      <c r="D303" s="1413"/>
      <c r="E303" s="1414">
        <f>$D$3*C303*650000</f>
        <v>0</v>
      </c>
      <c r="F303" s="1414"/>
      <c r="G303" s="1414"/>
      <c r="H303" s="1415"/>
      <c r="I303" s="1415"/>
      <c r="J303" s="1400"/>
      <c r="K303" s="1400"/>
      <c r="L303" s="1400">
        <f>$D$3*J303*650000</f>
        <v>0</v>
      </c>
      <c r="M303" s="1400"/>
      <c r="N303" s="1046"/>
      <c r="O303" s="1047"/>
      <c r="P303" s="1047"/>
      <c r="Q303" s="1048"/>
    </row>
    <row r="304" spans="1:20" ht="20.25" customHeight="1" x14ac:dyDescent="0.25">
      <c r="A304" s="359" t="s">
        <v>182</v>
      </c>
      <c r="B304" s="433"/>
      <c r="C304" s="1413"/>
      <c r="D304" s="1413"/>
      <c r="E304" s="1414">
        <f>$D$3*C304*65000</f>
        <v>0</v>
      </c>
      <c r="F304" s="1414"/>
      <c r="G304" s="1414"/>
      <c r="H304" s="1415"/>
      <c r="I304" s="1415"/>
      <c r="J304" s="1400"/>
      <c r="K304" s="1400"/>
      <c r="L304" s="1400">
        <f>$D$3*J304*65000</f>
        <v>0</v>
      </c>
      <c r="M304" s="1400"/>
      <c r="N304" s="1046"/>
      <c r="O304" s="1047"/>
      <c r="P304" s="1047"/>
      <c r="Q304" s="1048"/>
    </row>
    <row r="305" spans="1:20" ht="20.25" customHeight="1" x14ac:dyDescent="0.25">
      <c r="A305" s="1317" t="s">
        <v>183</v>
      </c>
      <c r="B305" s="1420"/>
      <c r="C305" s="1420"/>
      <c r="D305" s="1420"/>
      <c r="E305" s="1420"/>
      <c r="F305" s="1420"/>
      <c r="G305" s="1420"/>
      <c r="H305" s="1420"/>
      <c r="I305" s="1420"/>
      <c r="J305" s="1420"/>
      <c r="K305" s="1420"/>
      <c r="L305" s="1420"/>
      <c r="M305" s="1318"/>
      <c r="N305" s="1046"/>
      <c r="O305" s="1047"/>
      <c r="P305" s="1047"/>
      <c r="Q305" s="1048"/>
    </row>
    <row r="306" spans="1:20" ht="20.25" customHeight="1" x14ac:dyDescent="0.25">
      <c r="A306" s="359" t="s">
        <v>181</v>
      </c>
      <c r="B306" s="433"/>
      <c r="C306" s="1413"/>
      <c r="D306" s="1413"/>
      <c r="E306" s="1414">
        <f>$D$3*D306*650000</f>
        <v>0</v>
      </c>
      <c r="F306" s="1414"/>
      <c r="G306" s="1414"/>
      <c r="H306" s="1415"/>
      <c r="I306" s="1415"/>
      <c r="J306" s="1400"/>
      <c r="K306" s="1400"/>
      <c r="L306" s="1400">
        <f>$D$3*J306*650000</f>
        <v>0</v>
      </c>
      <c r="M306" s="1400"/>
      <c r="N306" s="1046"/>
      <c r="O306" s="1047"/>
      <c r="P306" s="1047"/>
      <c r="Q306" s="1048"/>
    </row>
    <row r="307" spans="1:20" ht="18.75" customHeight="1" thickBot="1" x14ac:dyDescent="0.3">
      <c r="A307" s="360" t="s">
        <v>182</v>
      </c>
      <c r="B307" s="445"/>
      <c r="C307" s="1416"/>
      <c r="D307" s="1416"/>
      <c r="E307" s="1417">
        <f>$D$3*C307*65000</f>
        <v>0</v>
      </c>
      <c r="F307" s="1417"/>
      <c r="G307" s="1417"/>
      <c r="H307" s="1418"/>
      <c r="I307" s="1418"/>
      <c r="J307" s="1419"/>
      <c r="K307" s="1419"/>
      <c r="L307" s="1419">
        <f>$D$3*J307*65000</f>
        <v>0</v>
      </c>
      <c r="M307" s="1419"/>
      <c r="N307" s="1046"/>
      <c r="O307" s="1047"/>
      <c r="P307" s="1047"/>
      <c r="Q307" s="1048"/>
    </row>
    <row r="308" spans="1:20" ht="19.5" thickBot="1" x14ac:dyDescent="0.35">
      <c r="A308" s="1428" t="s">
        <v>2</v>
      </c>
      <c r="B308" s="1429"/>
      <c r="C308" s="1429"/>
      <c r="D308" s="1429"/>
      <c r="E308" s="1430">
        <f>SUM(E303:G304,E306:G307,E299:G300)</f>
        <v>0</v>
      </c>
      <c r="F308" s="1431"/>
      <c r="G308" s="1431"/>
      <c r="H308" s="1432">
        <f>SUM(H303:I304,H306:I307,H299:I300)</f>
        <v>0</v>
      </c>
      <c r="I308" s="1432"/>
      <c r="J308" s="1433"/>
      <c r="K308" s="1433"/>
      <c r="L308" s="1434">
        <f>SUM(L303:M304,L306:M307,L299:M300)</f>
        <v>0</v>
      </c>
      <c r="M308" s="1435"/>
      <c r="N308" s="1049"/>
      <c r="O308" s="1049"/>
      <c r="P308" s="1049"/>
      <c r="Q308" s="1050"/>
    </row>
    <row r="309" spans="1:20" ht="15.75" thickBot="1" x14ac:dyDescent="0.3"/>
    <row r="310" spans="1:20" s="105" customFormat="1" ht="25.5" customHeight="1" x14ac:dyDescent="0.3">
      <c r="A310" s="1163" t="s">
        <v>545</v>
      </c>
      <c r="B310" s="1164"/>
      <c r="C310" s="1164"/>
      <c r="D310" s="1164"/>
      <c r="E310" s="1164"/>
      <c r="F310" s="1164"/>
      <c r="G310" s="1164"/>
      <c r="H310" s="1164"/>
      <c r="I310" s="1436"/>
      <c r="J310" s="1014" t="s">
        <v>39</v>
      </c>
      <c r="K310" s="1015"/>
      <c r="L310" s="1015"/>
      <c r="M310" s="1015"/>
      <c r="N310" s="1421" t="s">
        <v>40</v>
      </c>
      <c r="O310" s="1069"/>
      <c r="P310" s="1069"/>
      <c r="Q310" s="1070"/>
      <c r="R310" s="106"/>
      <c r="S310" s="106"/>
      <c r="T310" s="106"/>
    </row>
    <row r="311" spans="1:20" ht="15" customHeight="1" x14ac:dyDescent="0.25">
      <c r="A311" s="361" t="e">
        <f>SUM(#REF!)</f>
        <v>#REF!</v>
      </c>
      <c r="B311" s="48"/>
      <c r="C311" s="48"/>
      <c r="D311" s="48"/>
      <c r="E311" s="48"/>
      <c r="F311" s="48"/>
      <c r="G311" s="48"/>
      <c r="H311" s="6"/>
      <c r="I311" s="6"/>
      <c r="J311" s="1406" t="s">
        <v>42</v>
      </c>
      <c r="K311" s="1406"/>
      <c r="L311" s="1406"/>
      <c r="M311" s="1406"/>
      <c r="N311" s="979"/>
      <c r="O311" s="945"/>
      <c r="P311" s="945"/>
      <c r="Q311" s="946"/>
    </row>
    <row r="312" spans="1:20" s="13" customFormat="1" ht="27.75" customHeight="1" x14ac:dyDescent="0.25">
      <c r="A312" s="362" t="s">
        <v>184</v>
      </c>
      <c r="B312" s="185" t="s">
        <v>546</v>
      </c>
      <c r="C312" s="982" t="s">
        <v>185</v>
      </c>
      <c r="D312" s="982"/>
      <c r="E312" s="1422" t="s">
        <v>547</v>
      </c>
      <c r="F312" s="1423"/>
      <c r="G312" s="1424"/>
      <c r="H312" s="982" t="s">
        <v>76</v>
      </c>
      <c r="I312" s="982"/>
      <c r="J312" s="978" t="s">
        <v>179</v>
      </c>
      <c r="K312" s="978" t="s">
        <v>50</v>
      </c>
      <c r="L312" s="978" t="s">
        <v>50</v>
      </c>
      <c r="M312" s="978"/>
      <c r="N312" s="980"/>
      <c r="O312" s="947"/>
      <c r="P312" s="947"/>
      <c r="Q312" s="948"/>
      <c r="R312" s="363"/>
      <c r="S312" s="363"/>
      <c r="T312" s="363"/>
    </row>
    <row r="313" spans="1:20" ht="27.75" customHeight="1" x14ac:dyDescent="0.25">
      <c r="A313" s="1425" t="s">
        <v>375</v>
      </c>
      <c r="B313" s="1426"/>
      <c r="C313" s="1426"/>
      <c r="D313" s="1426"/>
      <c r="E313" s="1426"/>
      <c r="F313" s="1426"/>
      <c r="G313" s="1426"/>
      <c r="H313" s="1426"/>
      <c r="I313" s="1426"/>
      <c r="J313" s="1426"/>
      <c r="K313" s="1426"/>
      <c r="L313" s="1426"/>
      <c r="M313" s="1427"/>
      <c r="N313" s="980"/>
      <c r="O313" s="947"/>
      <c r="P313" s="947"/>
      <c r="Q313" s="948"/>
    </row>
    <row r="314" spans="1:20" ht="27.75" customHeight="1" x14ac:dyDescent="0.25">
      <c r="A314" s="1425" t="s">
        <v>186</v>
      </c>
      <c r="B314" s="1426"/>
      <c r="C314" s="1426"/>
      <c r="D314" s="1426"/>
      <c r="E314" s="1426"/>
      <c r="F314" s="1426"/>
      <c r="G314" s="1426"/>
      <c r="H314" s="1426"/>
      <c r="I314" s="1426"/>
      <c r="J314" s="1426"/>
      <c r="K314" s="1426"/>
      <c r="L314" s="1426"/>
      <c r="M314" s="1427"/>
      <c r="N314" s="980"/>
      <c r="O314" s="947"/>
      <c r="P314" s="947"/>
      <c r="Q314" s="948"/>
    </row>
    <row r="315" spans="1:20" ht="27.75" customHeight="1" x14ac:dyDescent="0.25">
      <c r="A315" s="136" t="s">
        <v>187</v>
      </c>
      <c r="B315" s="429"/>
      <c r="C315" s="1437"/>
      <c r="D315" s="1437"/>
      <c r="E315" s="1444"/>
      <c r="F315" s="1445"/>
      <c r="G315" s="1446"/>
      <c r="H315" s="1447"/>
      <c r="I315" s="1447"/>
      <c r="J315" s="1399"/>
      <c r="K315" s="1399"/>
      <c r="L315" s="1448"/>
      <c r="M315" s="1448"/>
      <c r="N315" s="980"/>
      <c r="O315" s="947"/>
      <c r="P315" s="947"/>
      <c r="Q315" s="948"/>
    </row>
    <row r="316" spans="1:20" ht="27.75" customHeight="1" x14ac:dyDescent="0.25">
      <c r="A316" s="136" t="s">
        <v>188</v>
      </c>
      <c r="B316" s="429"/>
      <c r="C316" s="1437"/>
      <c r="D316" s="1437"/>
      <c r="E316" s="1444"/>
      <c r="F316" s="1445"/>
      <c r="G316" s="1446"/>
      <c r="H316" s="1447"/>
      <c r="I316" s="1447"/>
      <c r="J316" s="1399"/>
      <c r="K316" s="1399"/>
      <c r="L316" s="1448"/>
      <c r="M316" s="1448"/>
      <c r="N316" s="980"/>
      <c r="O316" s="947"/>
      <c r="P316" s="947"/>
      <c r="Q316" s="948"/>
    </row>
    <row r="317" spans="1:20" ht="33" customHeight="1" x14ac:dyDescent="0.25">
      <c r="A317" s="136" t="s">
        <v>189</v>
      </c>
      <c r="B317" s="429"/>
      <c r="C317" s="1437"/>
      <c r="D317" s="1437"/>
      <c r="E317" s="1444"/>
      <c r="F317" s="1445"/>
      <c r="G317" s="1446"/>
      <c r="H317" s="1447"/>
      <c r="I317" s="1447"/>
      <c r="J317" s="1399"/>
      <c r="K317" s="1399"/>
      <c r="L317" s="1448"/>
      <c r="M317" s="1448"/>
      <c r="N317" s="980"/>
      <c r="O317" s="947"/>
      <c r="P317" s="947"/>
      <c r="Q317" s="948"/>
    </row>
    <row r="318" spans="1:20" ht="27.75" customHeight="1" x14ac:dyDescent="0.25">
      <c r="A318" s="1425" t="s">
        <v>190</v>
      </c>
      <c r="B318" s="1426"/>
      <c r="C318" s="1426"/>
      <c r="D318" s="1426"/>
      <c r="E318" s="1426"/>
      <c r="F318" s="1426"/>
      <c r="G318" s="1426"/>
      <c r="H318" s="1426"/>
      <c r="I318" s="1426"/>
      <c r="J318" s="1426"/>
      <c r="K318" s="1426"/>
      <c r="L318" s="1426"/>
      <c r="M318" s="1427"/>
      <c r="N318" s="980"/>
      <c r="O318" s="947"/>
      <c r="P318" s="947"/>
      <c r="Q318" s="948"/>
    </row>
    <row r="319" spans="1:20" ht="71.25" customHeight="1" x14ac:dyDescent="0.25">
      <c r="A319" s="194" t="s">
        <v>548</v>
      </c>
      <c r="B319" s="429"/>
      <c r="C319" s="1437"/>
      <c r="D319" s="1437"/>
      <c r="E319" s="1438">
        <f>$D$3*C319*60000</f>
        <v>0</v>
      </c>
      <c r="F319" s="1439"/>
      <c r="G319" s="1440"/>
      <c r="H319" s="1441"/>
      <c r="I319" s="1441"/>
      <c r="J319" s="1442"/>
      <c r="K319" s="1442"/>
      <c r="L319" s="1443"/>
      <c r="M319" s="1443"/>
      <c r="N319" s="980"/>
      <c r="O319" s="947"/>
      <c r="P319" s="947"/>
      <c r="Q319" s="948"/>
    </row>
    <row r="320" spans="1:20" ht="71.25" customHeight="1" x14ac:dyDescent="0.25">
      <c r="A320" s="194" t="s">
        <v>191</v>
      </c>
      <c r="B320" s="429"/>
      <c r="C320" s="1437"/>
      <c r="D320" s="1437"/>
      <c r="E320" s="1438">
        <f>$D$3*C320*60000</f>
        <v>0</v>
      </c>
      <c r="F320" s="1439"/>
      <c r="G320" s="1440"/>
      <c r="H320" s="1441"/>
      <c r="I320" s="1441"/>
      <c r="J320" s="1442"/>
      <c r="K320" s="1442"/>
      <c r="L320" s="1443"/>
      <c r="M320" s="1443"/>
      <c r="N320" s="980"/>
      <c r="O320" s="947"/>
      <c r="P320" s="947"/>
      <c r="Q320" s="948"/>
    </row>
    <row r="321" spans="1:20" ht="71.25" customHeight="1" x14ac:dyDescent="0.25">
      <c r="A321" s="194" t="s">
        <v>192</v>
      </c>
      <c r="B321" s="429"/>
      <c r="C321" s="1437"/>
      <c r="D321" s="1437"/>
      <c r="E321" s="1438">
        <f>$D$3*C321*60000</f>
        <v>0</v>
      </c>
      <c r="F321" s="1439"/>
      <c r="G321" s="1440"/>
      <c r="H321" s="1441"/>
      <c r="I321" s="1441"/>
      <c r="J321" s="1442"/>
      <c r="K321" s="1442"/>
      <c r="L321" s="1443"/>
      <c r="M321" s="1443"/>
      <c r="N321" s="980"/>
      <c r="O321" s="947"/>
      <c r="P321" s="947"/>
      <c r="Q321" s="948"/>
    </row>
    <row r="322" spans="1:20" ht="27.75" customHeight="1" x14ac:dyDescent="0.25">
      <c r="A322" s="136" t="s">
        <v>193</v>
      </c>
      <c r="B322" s="429"/>
      <c r="C322" s="1437"/>
      <c r="D322" s="1437"/>
      <c r="E322" s="1438">
        <f>$D$3*C322*10000</f>
        <v>0</v>
      </c>
      <c r="F322" s="1439"/>
      <c r="G322" s="1440"/>
      <c r="H322" s="1441"/>
      <c r="I322" s="1441"/>
      <c r="J322" s="1442"/>
      <c r="K322" s="1442"/>
      <c r="L322" s="1443"/>
      <c r="M322" s="1443"/>
      <c r="N322" s="980"/>
      <c r="O322" s="947"/>
      <c r="P322" s="947"/>
      <c r="Q322" s="948"/>
    </row>
    <row r="323" spans="1:20" ht="27.75" customHeight="1" x14ac:dyDescent="0.25">
      <c r="A323" s="136" t="s">
        <v>194</v>
      </c>
      <c r="B323" s="429"/>
      <c r="C323" s="1437"/>
      <c r="D323" s="1437"/>
      <c r="E323" s="1438">
        <f>$D$3*C323*100000</f>
        <v>0</v>
      </c>
      <c r="F323" s="1439"/>
      <c r="G323" s="1440"/>
      <c r="H323" s="1441"/>
      <c r="I323" s="1441"/>
      <c r="J323" s="1442"/>
      <c r="K323" s="1442"/>
      <c r="L323" s="1443"/>
      <c r="M323" s="1443"/>
      <c r="N323" s="980"/>
      <c r="O323" s="947"/>
      <c r="P323" s="947"/>
      <c r="Q323" s="948"/>
    </row>
    <row r="324" spans="1:20" ht="27.75" customHeight="1" x14ac:dyDescent="0.25">
      <c r="A324" s="136" t="s">
        <v>195</v>
      </c>
      <c r="B324" s="429"/>
      <c r="C324" s="1437"/>
      <c r="D324" s="1437"/>
      <c r="E324" s="1438">
        <f>$D$3*C324*100000</f>
        <v>0</v>
      </c>
      <c r="F324" s="1439"/>
      <c r="G324" s="1440"/>
      <c r="H324" s="1441"/>
      <c r="I324" s="1441"/>
      <c r="J324" s="1442"/>
      <c r="K324" s="1442"/>
      <c r="L324" s="1443"/>
      <c r="M324" s="1443"/>
      <c r="N324" s="980"/>
      <c r="O324" s="947"/>
      <c r="P324" s="947"/>
      <c r="Q324" s="948"/>
    </row>
    <row r="325" spans="1:20" ht="27.75" customHeight="1" x14ac:dyDescent="0.25">
      <c r="A325" s="136" t="s">
        <v>101</v>
      </c>
      <c r="B325" s="429"/>
      <c r="C325" s="1437"/>
      <c r="D325" s="1437"/>
      <c r="E325" s="1438">
        <f>$D$3*C325*25000</f>
        <v>0</v>
      </c>
      <c r="F325" s="1439"/>
      <c r="G325" s="1440"/>
      <c r="H325" s="1441"/>
      <c r="I325" s="1441"/>
      <c r="J325" s="1442"/>
      <c r="K325" s="1442"/>
      <c r="L325" s="1443"/>
      <c r="M325" s="1443"/>
      <c r="N325" s="980"/>
      <c r="O325" s="947"/>
      <c r="P325" s="947"/>
      <c r="Q325" s="948"/>
    </row>
    <row r="326" spans="1:20" ht="43.5" customHeight="1" x14ac:dyDescent="0.25">
      <c r="A326" s="136" t="s">
        <v>196</v>
      </c>
      <c r="B326" s="429"/>
      <c r="C326" s="1437"/>
      <c r="D326" s="1437"/>
      <c r="E326" s="1438">
        <f>$D$3*C326*85000</f>
        <v>0</v>
      </c>
      <c r="F326" s="1439"/>
      <c r="G326" s="1440"/>
      <c r="H326" s="1441"/>
      <c r="I326" s="1441"/>
      <c r="J326" s="1442"/>
      <c r="K326" s="1442"/>
      <c r="L326" s="1443"/>
      <c r="M326" s="1443"/>
      <c r="N326" s="980"/>
      <c r="O326" s="947"/>
      <c r="P326" s="947"/>
      <c r="Q326" s="948"/>
    </row>
    <row r="327" spans="1:20" ht="27.75" customHeight="1" x14ac:dyDescent="0.25">
      <c r="A327" s="351"/>
      <c r="B327" s="429"/>
      <c r="C327" s="1437"/>
      <c r="D327" s="1437"/>
      <c r="E327" s="1438"/>
      <c r="F327" s="1439"/>
      <c r="G327" s="1440"/>
      <c r="H327" s="1441"/>
      <c r="I327" s="1441"/>
      <c r="J327" s="1442"/>
      <c r="K327" s="1442"/>
      <c r="L327" s="1443"/>
      <c r="M327" s="1443"/>
      <c r="N327" s="980"/>
      <c r="O327" s="947"/>
      <c r="P327" s="947"/>
      <c r="Q327" s="948"/>
    </row>
    <row r="328" spans="1:20" ht="27.75" customHeight="1" x14ac:dyDescent="0.25">
      <c r="A328" s="364"/>
      <c r="B328" s="429"/>
      <c r="C328" s="1437"/>
      <c r="D328" s="1437"/>
      <c r="E328" s="1438"/>
      <c r="F328" s="1439"/>
      <c r="G328" s="1440"/>
      <c r="H328" s="1441"/>
      <c r="I328" s="1441"/>
      <c r="J328" s="1442"/>
      <c r="K328" s="1442"/>
      <c r="L328" s="1443"/>
      <c r="M328" s="1443"/>
      <c r="N328" s="980"/>
      <c r="O328" s="947"/>
      <c r="P328" s="947"/>
      <c r="Q328" s="948"/>
    </row>
    <row r="329" spans="1:20" ht="27.75" customHeight="1" x14ac:dyDescent="0.25">
      <c r="A329" s="365"/>
      <c r="B329" s="429"/>
      <c r="C329" s="1437"/>
      <c r="D329" s="1437"/>
      <c r="E329" s="1438"/>
      <c r="F329" s="1439"/>
      <c r="G329" s="1440"/>
      <c r="H329" s="1441"/>
      <c r="I329" s="1441"/>
      <c r="J329" s="1442"/>
      <c r="K329" s="1442"/>
      <c r="L329" s="1443"/>
      <c r="M329" s="1443"/>
      <c r="N329" s="980"/>
      <c r="O329" s="947"/>
      <c r="P329" s="947"/>
      <c r="Q329" s="948"/>
    </row>
    <row r="330" spans="1:20" ht="27.75" customHeight="1" x14ac:dyDescent="0.25">
      <c r="A330" s="364"/>
      <c r="B330" s="429"/>
      <c r="C330" s="1437"/>
      <c r="D330" s="1437"/>
      <c r="E330" s="1438"/>
      <c r="F330" s="1439"/>
      <c r="G330" s="1440"/>
      <c r="H330" s="1441"/>
      <c r="I330" s="1441"/>
      <c r="J330" s="1442"/>
      <c r="K330" s="1442"/>
      <c r="L330" s="1443"/>
      <c r="M330" s="1443"/>
      <c r="N330" s="980"/>
      <c r="O330" s="947"/>
      <c r="P330" s="947"/>
      <c r="Q330" s="948"/>
    </row>
    <row r="331" spans="1:20" ht="27.75" customHeight="1" x14ac:dyDescent="0.25">
      <c r="A331" s="1425"/>
      <c r="B331" s="1426"/>
      <c r="C331" s="1426"/>
      <c r="D331" s="1426"/>
      <c r="E331" s="1426"/>
      <c r="F331" s="1426"/>
      <c r="G331" s="1426"/>
      <c r="H331" s="1426"/>
      <c r="I331" s="1426"/>
      <c r="J331" s="1426"/>
      <c r="K331" s="1426"/>
      <c r="L331" s="1426"/>
      <c r="M331" s="1427"/>
      <c r="N331" s="980"/>
      <c r="O331" s="947"/>
      <c r="P331" s="947"/>
      <c r="Q331" s="948"/>
    </row>
    <row r="332" spans="1:20" x14ac:dyDescent="0.25">
      <c r="A332" s="150"/>
      <c r="B332" s="151"/>
      <c r="C332" s="1453"/>
      <c r="D332" s="1453"/>
      <c r="E332" s="1454"/>
      <c r="F332" s="1454"/>
      <c r="G332" s="1454"/>
      <c r="H332" s="1455"/>
      <c r="I332" s="1455"/>
      <c r="J332" s="1456"/>
      <c r="K332" s="1456"/>
      <c r="L332" s="1456"/>
      <c r="M332" s="1456"/>
      <c r="N332" s="980"/>
      <c r="O332" s="947"/>
      <c r="P332" s="947"/>
      <c r="Q332" s="948"/>
    </row>
    <row r="333" spans="1:20" x14ac:dyDescent="0.25">
      <c r="A333" s="136"/>
      <c r="B333" s="433"/>
      <c r="C333" s="1449"/>
      <c r="D333" s="1449"/>
      <c r="E333" s="1450"/>
      <c r="F333" s="1450"/>
      <c r="G333" s="1450"/>
      <c r="H333" s="1451"/>
      <c r="I333" s="1451"/>
      <c r="J333" s="1452"/>
      <c r="K333" s="1452"/>
      <c r="L333" s="1452"/>
      <c r="M333" s="1452"/>
      <c r="N333" s="980"/>
      <c r="O333" s="947"/>
      <c r="P333" s="947"/>
      <c r="Q333" s="948"/>
    </row>
    <row r="334" spans="1:20" x14ac:dyDescent="0.25">
      <c r="A334" s="136"/>
      <c r="B334" s="433"/>
      <c r="C334" s="1449"/>
      <c r="D334" s="1449"/>
      <c r="E334" s="1450"/>
      <c r="F334" s="1450"/>
      <c r="G334" s="1450"/>
      <c r="H334" s="1451"/>
      <c r="I334" s="1451"/>
      <c r="J334" s="1452"/>
      <c r="K334" s="1452"/>
      <c r="L334" s="1452"/>
      <c r="M334" s="1452"/>
      <c r="N334" s="980"/>
      <c r="O334" s="947"/>
      <c r="P334" s="947"/>
      <c r="Q334" s="948"/>
    </row>
    <row r="335" spans="1:20" ht="42.75" customHeight="1" x14ac:dyDescent="0.25">
      <c r="A335" s="136"/>
      <c r="B335" s="433"/>
      <c r="C335" s="1449"/>
      <c r="D335" s="1449"/>
      <c r="E335" s="1450"/>
      <c r="F335" s="1450"/>
      <c r="G335" s="1450"/>
      <c r="H335" s="1451"/>
      <c r="I335" s="1451"/>
      <c r="J335" s="1452"/>
      <c r="K335" s="1452"/>
      <c r="L335" s="1452"/>
      <c r="M335" s="1452"/>
      <c r="N335" s="980"/>
      <c r="O335" s="947"/>
      <c r="P335" s="947"/>
      <c r="Q335" s="948"/>
      <c r="R335" s="6"/>
      <c r="S335" s="6"/>
      <c r="T335" s="6"/>
    </row>
    <row r="336" spans="1:20" x14ac:dyDescent="0.25">
      <c r="A336" s="150"/>
      <c r="B336" s="151"/>
      <c r="C336" s="1453"/>
      <c r="D336" s="1453"/>
      <c r="E336" s="1454"/>
      <c r="F336" s="1454"/>
      <c r="G336" s="1454"/>
      <c r="H336" s="1455"/>
      <c r="I336" s="1455"/>
      <c r="J336" s="1456"/>
      <c r="K336" s="1456"/>
      <c r="L336" s="1456"/>
      <c r="M336" s="1456"/>
      <c r="N336" s="980"/>
      <c r="O336" s="947"/>
      <c r="P336" s="947"/>
      <c r="Q336" s="948"/>
      <c r="R336" s="6"/>
      <c r="S336" s="6"/>
      <c r="T336" s="6"/>
    </row>
    <row r="337" spans="1:20" x14ac:dyDescent="0.25">
      <c r="A337" s="136"/>
      <c r="B337" s="433"/>
      <c r="C337" s="1457"/>
      <c r="D337" s="1458"/>
      <c r="E337" s="1459"/>
      <c r="F337" s="1459"/>
      <c r="G337" s="1459"/>
      <c r="H337" s="1460"/>
      <c r="I337" s="1460"/>
      <c r="J337" s="1452"/>
      <c r="K337" s="1452"/>
      <c r="L337" s="1400"/>
      <c r="M337" s="1400"/>
      <c r="N337" s="980"/>
      <c r="O337" s="947"/>
      <c r="P337" s="947"/>
      <c r="Q337" s="948"/>
      <c r="R337" s="6"/>
      <c r="S337" s="6"/>
      <c r="T337" s="6"/>
    </row>
    <row r="338" spans="1:20" x14ac:dyDescent="0.25">
      <c r="A338" s="136"/>
      <c r="B338" s="433"/>
      <c r="C338" s="1449"/>
      <c r="D338" s="1449"/>
      <c r="E338" s="1438"/>
      <c r="F338" s="1439"/>
      <c r="G338" s="1440"/>
      <c r="H338" s="1460"/>
      <c r="I338" s="1460"/>
      <c r="J338" s="1452"/>
      <c r="K338" s="1452"/>
      <c r="L338" s="1400"/>
      <c r="M338" s="1400"/>
      <c r="N338" s="980"/>
      <c r="O338" s="947"/>
      <c r="P338" s="947"/>
      <c r="Q338" s="948"/>
      <c r="R338" s="6"/>
      <c r="S338" s="6"/>
      <c r="T338" s="6"/>
    </row>
    <row r="339" spans="1:20" x14ac:dyDescent="0.25">
      <c r="A339" s="136"/>
      <c r="B339" s="433"/>
      <c r="C339" s="1449"/>
      <c r="D339" s="1449"/>
      <c r="E339" s="1438"/>
      <c r="F339" s="1439"/>
      <c r="G339" s="1440"/>
      <c r="H339" s="1460"/>
      <c r="I339" s="1460"/>
      <c r="J339" s="1452"/>
      <c r="K339" s="1452"/>
      <c r="L339" s="1400"/>
      <c r="M339" s="1400"/>
      <c r="N339" s="980"/>
      <c r="O339" s="947"/>
      <c r="P339" s="947"/>
      <c r="Q339" s="948"/>
      <c r="R339" s="6"/>
      <c r="S339" s="6"/>
      <c r="T339" s="6"/>
    </row>
    <row r="340" spans="1:20" x14ac:dyDescent="0.25">
      <c r="A340" s="136"/>
      <c r="B340" s="433"/>
      <c r="C340" s="1449"/>
      <c r="D340" s="1449"/>
      <c r="E340" s="1414"/>
      <c r="F340" s="1414"/>
      <c r="G340" s="1414"/>
      <c r="H340" s="1460"/>
      <c r="I340" s="1460"/>
      <c r="J340" s="1452"/>
      <c r="K340" s="1452"/>
      <c r="L340" s="1400"/>
      <c r="M340" s="1400"/>
      <c r="N340" s="980"/>
      <c r="O340" s="947"/>
      <c r="P340" s="947"/>
      <c r="Q340" s="948"/>
      <c r="R340" s="6"/>
      <c r="S340" s="6"/>
      <c r="T340" s="6"/>
    </row>
    <row r="341" spans="1:20" x14ac:dyDescent="0.25">
      <c r="A341" s="136"/>
      <c r="B341" s="433"/>
      <c r="C341" s="1449"/>
      <c r="D341" s="1449"/>
      <c r="E341" s="1414"/>
      <c r="F341" s="1414"/>
      <c r="G341" s="1414"/>
      <c r="H341" s="1460"/>
      <c r="I341" s="1460"/>
      <c r="J341" s="1452"/>
      <c r="K341" s="1452"/>
      <c r="L341" s="1400"/>
      <c r="M341" s="1400"/>
      <c r="N341" s="980"/>
      <c r="O341" s="947"/>
      <c r="P341" s="947"/>
      <c r="Q341" s="948"/>
      <c r="R341" s="6"/>
      <c r="S341" s="6"/>
      <c r="T341" s="6"/>
    </row>
    <row r="342" spans="1:20" x14ac:dyDescent="0.25">
      <c r="A342" s="136"/>
      <c r="B342" s="433"/>
      <c r="C342" s="1449"/>
      <c r="D342" s="1449"/>
      <c r="E342" s="1414"/>
      <c r="F342" s="1414"/>
      <c r="G342" s="1414"/>
      <c r="H342" s="1460"/>
      <c r="I342" s="1460"/>
      <c r="J342" s="1452"/>
      <c r="K342" s="1452"/>
      <c r="L342" s="1400"/>
      <c r="M342" s="1400"/>
      <c r="N342" s="980"/>
      <c r="O342" s="947"/>
      <c r="P342" s="947"/>
      <c r="Q342" s="948"/>
      <c r="R342" s="6"/>
      <c r="S342" s="6"/>
      <c r="T342" s="6"/>
    </row>
    <row r="343" spans="1:20" x14ac:dyDescent="0.25">
      <c r="A343" s="136"/>
      <c r="B343" s="433"/>
      <c r="C343" s="1449"/>
      <c r="D343" s="1449"/>
      <c r="E343" s="1438"/>
      <c r="F343" s="1439"/>
      <c r="G343" s="1440"/>
      <c r="H343" s="1460"/>
      <c r="I343" s="1460"/>
      <c r="J343" s="1452"/>
      <c r="K343" s="1452"/>
      <c r="L343" s="1400"/>
      <c r="M343" s="1400"/>
      <c r="N343" s="980"/>
      <c r="O343" s="947"/>
      <c r="P343" s="947"/>
      <c r="Q343" s="948"/>
      <c r="R343" s="6"/>
      <c r="S343" s="6"/>
      <c r="T343" s="6"/>
    </row>
    <row r="344" spans="1:20" x14ac:dyDescent="0.25">
      <c r="A344" s="136"/>
      <c r="B344" s="433"/>
      <c r="C344" s="1449"/>
      <c r="D344" s="1449"/>
      <c r="E344" s="1414"/>
      <c r="F344" s="1414"/>
      <c r="G344" s="1414"/>
      <c r="H344" s="1460"/>
      <c r="I344" s="1460"/>
      <c r="J344" s="1452"/>
      <c r="K344" s="1452"/>
      <c r="L344" s="1400"/>
      <c r="M344" s="1400"/>
      <c r="N344" s="980"/>
      <c r="O344" s="947"/>
      <c r="P344" s="947"/>
      <c r="Q344" s="948"/>
      <c r="R344" s="6"/>
      <c r="S344" s="6"/>
      <c r="T344" s="6"/>
    </row>
    <row r="345" spans="1:20" x14ac:dyDescent="0.25">
      <c r="A345" s="136"/>
      <c r="B345" s="433"/>
      <c r="C345" s="1449"/>
      <c r="D345" s="1449"/>
      <c r="E345" s="1414"/>
      <c r="F345" s="1414"/>
      <c r="G345" s="1414"/>
      <c r="H345" s="1460"/>
      <c r="I345" s="1460"/>
      <c r="J345" s="1452"/>
      <c r="K345" s="1452"/>
      <c r="L345" s="1400"/>
      <c r="M345" s="1400"/>
      <c r="N345" s="980"/>
      <c r="O345" s="947"/>
      <c r="P345" s="947"/>
      <c r="Q345" s="948"/>
      <c r="R345" s="6"/>
      <c r="S345" s="6"/>
      <c r="T345" s="6"/>
    </row>
    <row r="346" spans="1:20" x14ac:dyDescent="0.25">
      <c r="A346" s="351"/>
      <c r="B346" s="433"/>
      <c r="C346" s="1449"/>
      <c r="D346" s="1449"/>
      <c r="E346" s="1450"/>
      <c r="F346" s="1450"/>
      <c r="G346" s="1450"/>
      <c r="H346" s="1460"/>
      <c r="I346" s="1460"/>
      <c r="J346" s="1452"/>
      <c r="K346" s="1452"/>
      <c r="L346" s="1452"/>
      <c r="M346" s="1452"/>
      <c r="N346" s="980"/>
      <c r="O346" s="947"/>
      <c r="P346" s="947"/>
      <c r="Q346" s="948"/>
      <c r="R346" s="6"/>
      <c r="S346" s="6"/>
      <c r="T346" s="6"/>
    </row>
    <row r="347" spans="1:20" ht="15.75" thickBot="1" x14ac:dyDescent="0.3">
      <c r="A347" s="365"/>
      <c r="B347" s="446"/>
      <c r="C347" s="1465"/>
      <c r="D347" s="1465"/>
      <c r="E347" s="1466"/>
      <c r="F347" s="1466"/>
      <c r="G347" s="1466"/>
      <c r="H347" s="1467"/>
      <c r="I347" s="1467"/>
      <c r="J347" s="1468"/>
      <c r="K347" s="1468"/>
      <c r="L347" s="1468"/>
      <c r="M347" s="1468"/>
      <c r="N347" s="980"/>
      <c r="O347" s="947"/>
      <c r="P347" s="947"/>
      <c r="Q347" s="948"/>
      <c r="R347" s="6"/>
      <c r="S347" s="6"/>
      <c r="T347" s="6"/>
    </row>
    <row r="348" spans="1:20" ht="15.75" thickBot="1" x14ac:dyDescent="0.3">
      <c r="A348" s="1469" t="s">
        <v>2</v>
      </c>
      <c r="B348" s="1470"/>
      <c r="C348" s="1470"/>
      <c r="D348" s="1471"/>
      <c r="E348" s="1472">
        <f>SUM(E333:G335,E337:G347,E319:G330)</f>
        <v>0</v>
      </c>
      <c r="F348" s="1473"/>
      <c r="G348" s="1474"/>
      <c r="H348" s="1472">
        <f>SUM(H333:I335,H337:I347,H319:I330)</f>
        <v>0</v>
      </c>
      <c r="I348" s="1475"/>
      <c r="J348" s="1476"/>
      <c r="K348" s="1477"/>
      <c r="L348" s="1472">
        <f>SUM(L333:M335,L337:M347,L319:M330)</f>
        <v>0</v>
      </c>
      <c r="M348" s="1478"/>
      <c r="N348" s="949"/>
      <c r="O348" s="949"/>
      <c r="P348" s="949"/>
      <c r="Q348" s="950"/>
      <c r="R348" s="6"/>
      <c r="S348" s="6"/>
      <c r="T348" s="6"/>
    </row>
    <row r="349" spans="1:20" s="9" customFormat="1" ht="15.75" thickBot="1" x14ac:dyDescent="0.3">
      <c r="A349" s="152"/>
      <c r="B349" s="152"/>
      <c r="C349" s="152"/>
      <c r="D349" s="152"/>
      <c r="E349" s="153"/>
      <c r="F349" s="142"/>
      <c r="G349" s="142"/>
      <c r="H349" s="153"/>
      <c r="I349" s="153"/>
      <c r="J349" s="153"/>
      <c r="K349" s="153"/>
      <c r="L349" s="153"/>
      <c r="M349" s="153"/>
    </row>
    <row r="350" spans="1:20" ht="19.5" customHeight="1" x14ac:dyDescent="0.25">
      <c r="A350" s="1163" t="s">
        <v>549</v>
      </c>
      <c r="B350" s="1164"/>
      <c r="C350" s="1164"/>
      <c r="D350" s="1164"/>
      <c r="E350" s="1164"/>
      <c r="F350" s="1164"/>
      <c r="G350" s="1164"/>
      <c r="H350" s="1164"/>
      <c r="I350" s="1436"/>
      <c r="J350" s="1125" t="s">
        <v>39</v>
      </c>
      <c r="K350" s="1125"/>
      <c r="L350" s="1125"/>
      <c r="M350" s="1125"/>
      <c r="N350" s="1461" t="s">
        <v>40</v>
      </c>
      <c r="O350" s="1101"/>
      <c r="P350" s="1101"/>
      <c r="Q350" s="1102"/>
    </row>
    <row r="351" spans="1:20" x14ac:dyDescent="0.25">
      <c r="A351" s="366"/>
      <c r="B351" s="13"/>
      <c r="C351" s="13"/>
      <c r="D351" s="13"/>
      <c r="E351" s="13"/>
      <c r="F351" s="13"/>
      <c r="G351" s="13"/>
      <c r="H351" s="13"/>
      <c r="I351" s="13"/>
      <c r="J351" s="977" t="s">
        <v>72</v>
      </c>
      <c r="K351" s="977"/>
      <c r="L351" s="978" t="s">
        <v>42</v>
      </c>
      <c r="M351" s="978"/>
      <c r="N351" s="1292"/>
      <c r="O351" s="1293"/>
      <c r="P351" s="1293"/>
      <c r="Q351" s="1294"/>
    </row>
    <row r="352" spans="1:20" ht="62.25" customHeight="1" x14ac:dyDescent="0.25">
      <c r="A352" s="1464" t="s">
        <v>43</v>
      </c>
      <c r="B352" s="1157"/>
      <c r="C352" s="1157" t="s">
        <v>198</v>
      </c>
      <c r="D352" s="1157"/>
      <c r="E352" s="203" t="s">
        <v>199</v>
      </c>
      <c r="F352" s="1157" t="s">
        <v>119</v>
      </c>
      <c r="G352" s="1157"/>
      <c r="H352" s="1157" t="s">
        <v>200</v>
      </c>
      <c r="I352" s="1157"/>
      <c r="J352" s="977"/>
      <c r="K352" s="977"/>
      <c r="L352" s="189" t="s">
        <v>49</v>
      </c>
      <c r="M352" s="189" t="s">
        <v>50</v>
      </c>
      <c r="N352" s="1292"/>
      <c r="O352" s="1293"/>
      <c r="P352" s="1293"/>
      <c r="Q352" s="1294"/>
      <c r="T352" s="6"/>
    </row>
    <row r="353" spans="1:20" ht="33" customHeight="1" x14ac:dyDescent="0.25">
      <c r="A353" s="1033" t="s">
        <v>201</v>
      </c>
      <c r="B353" s="1034"/>
      <c r="C353" s="1479"/>
      <c r="D353" s="1479"/>
      <c r="E353" s="447"/>
      <c r="F353" s="1479"/>
      <c r="G353" s="1479"/>
      <c r="H353" s="1479"/>
      <c r="I353" s="1479"/>
      <c r="J353" s="1281" t="e">
        <f t="shared" ref="J353:J358" si="26">E353/F353</f>
        <v>#DIV/0!</v>
      </c>
      <c r="K353" s="1282"/>
      <c r="L353" s="319" t="e">
        <f t="shared" ref="L353:L358" si="27">M353/H353</f>
        <v>#REF!</v>
      </c>
      <c r="M353" s="107" t="e">
        <f>SUM(#REF!)</f>
        <v>#REF!</v>
      </c>
      <c r="N353" s="1292"/>
      <c r="O353" s="1293"/>
      <c r="P353" s="1293"/>
      <c r="Q353" s="1294"/>
      <c r="T353" s="6"/>
    </row>
    <row r="354" spans="1:20" ht="59.25" customHeight="1" x14ac:dyDescent="0.25">
      <c r="A354" s="1033" t="s">
        <v>202</v>
      </c>
      <c r="B354" s="1034"/>
      <c r="C354" s="1479"/>
      <c r="D354" s="1479"/>
      <c r="E354" s="447"/>
      <c r="F354" s="1479"/>
      <c r="G354" s="1479"/>
      <c r="H354" s="1479"/>
      <c r="I354" s="1479"/>
      <c r="J354" s="1281" t="e">
        <f t="shared" si="26"/>
        <v>#DIV/0!</v>
      </c>
      <c r="K354" s="1282"/>
      <c r="L354" s="319" t="e">
        <f t="shared" si="27"/>
        <v>#REF!</v>
      </c>
      <c r="M354" s="107" t="e">
        <f>SUM(#REF!)</f>
        <v>#REF!</v>
      </c>
      <c r="N354" s="1292"/>
      <c r="O354" s="1293"/>
      <c r="P354" s="1293"/>
      <c r="Q354" s="1294"/>
      <c r="T354" s="6"/>
    </row>
    <row r="355" spans="1:20" ht="59.25" customHeight="1" x14ac:dyDescent="0.25">
      <c r="A355" s="1033" t="s">
        <v>203</v>
      </c>
      <c r="B355" s="1034"/>
      <c r="C355" s="1479"/>
      <c r="D355" s="1479"/>
      <c r="E355" s="447"/>
      <c r="F355" s="1479"/>
      <c r="G355" s="1479"/>
      <c r="H355" s="1479"/>
      <c r="I355" s="1479"/>
      <c r="J355" s="1281" t="e">
        <f t="shared" si="26"/>
        <v>#DIV/0!</v>
      </c>
      <c r="K355" s="1282"/>
      <c r="L355" s="319" t="e">
        <f t="shared" si="27"/>
        <v>#REF!</v>
      </c>
      <c r="M355" s="107" t="e">
        <f>SUM(#REF!)</f>
        <v>#REF!</v>
      </c>
      <c r="N355" s="1292"/>
      <c r="O355" s="1293"/>
      <c r="P355" s="1293"/>
      <c r="Q355" s="1294"/>
      <c r="T355" s="6"/>
    </row>
    <row r="356" spans="1:20" ht="33" customHeight="1" x14ac:dyDescent="0.25">
      <c r="A356" s="1033" t="s">
        <v>204</v>
      </c>
      <c r="B356" s="1034"/>
      <c r="C356" s="1479"/>
      <c r="D356" s="1479"/>
      <c r="E356" s="447"/>
      <c r="F356" s="1479"/>
      <c r="G356" s="1479"/>
      <c r="H356" s="1479"/>
      <c r="I356" s="1479"/>
      <c r="J356" s="1281" t="e">
        <f t="shared" si="26"/>
        <v>#DIV/0!</v>
      </c>
      <c r="K356" s="1282"/>
      <c r="L356" s="319" t="e">
        <f t="shared" si="27"/>
        <v>#REF!</v>
      </c>
      <c r="M356" s="107" t="e">
        <f>SUM(#REF!)</f>
        <v>#REF!</v>
      </c>
      <c r="N356" s="1292"/>
      <c r="O356" s="1293"/>
      <c r="P356" s="1293"/>
      <c r="Q356" s="1294"/>
      <c r="T356" s="6"/>
    </row>
    <row r="357" spans="1:20" ht="33" customHeight="1" thickBot="1" x14ac:dyDescent="0.3">
      <c r="A357" s="1138" t="s">
        <v>205</v>
      </c>
      <c r="B357" s="1482"/>
      <c r="C357" s="1483"/>
      <c r="D357" s="1483"/>
      <c r="E357" s="448"/>
      <c r="F357" s="1483"/>
      <c r="G357" s="1483"/>
      <c r="H357" s="1483"/>
      <c r="I357" s="1483"/>
      <c r="J357" s="1350" t="e">
        <f t="shared" si="26"/>
        <v>#DIV/0!</v>
      </c>
      <c r="K357" s="1351"/>
      <c r="L357" s="94" t="e">
        <f t="shared" si="27"/>
        <v>#REF!</v>
      </c>
      <c r="M357" s="96" t="e">
        <f>SUM(#REF!)</f>
        <v>#REF!</v>
      </c>
      <c r="N357" s="1292"/>
      <c r="O357" s="1293"/>
      <c r="P357" s="1293"/>
      <c r="Q357" s="1294"/>
      <c r="T357" s="6"/>
    </row>
    <row r="358" spans="1:20" ht="33" customHeight="1" thickBot="1" x14ac:dyDescent="0.3">
      <c r="A358" s="1469" t="s">
        <v>163</v>
      </c>
      <c r="B358" s="1471"/>
      <c r="C358" s="1484">
        <f>SUM(C353:D357)</f>
        <v>0</v>
      </c>
      <c r="D358" s="1484"/>
      <c r="E358" s="220">
        <f>SUM(E353:E357)</f>
        <v>0</v>
      </c>
      <c r="F358" s="1484">
        <f>SUM(F353:G357)</f>
        <v>0</v>
      </c>
      <c r="G358" s="1484"/>
      <c r="H358" s="1484">
        <f>SUM(H353:I357)</f>
        <v>0</v>
      </c>
      <c r="I358" s="1484"/>
      <c r="J358" s="1355" t="e">
        <f t="shared" si="26"/>
        <v>#DIV/0!</v>
      </c>
      <c r="K358" s="1356"/>
      <c r="L358" s="130" t="e">
        <f t="shared" si="27"/>
        <v>#REF!</v>
      </c>
      <c r="M358" s="131" t="e">
        <f>SUM(M353:M357)</f>
        <v>#REF!</v>
      </c>
      <c r="N358" s="1462"/>
      <c r="O358" s="1462"/>
      <c r="P358" s="1462"/>
      <c r="Q358" s="1463"/>
      <c r="T358" s="6"/>
    </row>
    <row r="359" spans="1:20" ht="15.75" thickBot="1" x14ac:dyDescent="0.3">
      <c r="C359" s="154"/>
      <c r="D359" s="154"/>
      <c r="E359" s="154"/>
      <c r="F359" s="154"/>
      <c r="G359" s="154"/>
      <c r="H359" s="154"/>
      <c r="I359" s="154"/>
    </row>
    <row r="360" spans="1:20" ht="18" x14ac:dyDescent="0.25">
      <c r="A360" s="1163" t="s">
        <v>206</v>
      </c>
      <c r="B360" s="1164"/>
      <c r="C360" s="1164"/>
      <c r="D360" s="1164"/>
      <c r="E360" s="1164"/>
      <c r="F360" s="1164"/>
      <c r="G360" s="1164"/>
      <c r="H360" s="1164"/>
      <c r="I360" s="1436"/>
      <c r="J360" s="1125" t="s">
        <v>39</v>
      </c>
      <c r="K360" s="1125"/>
      <c r="L360" s="1125"/>
      <c r="M360" s="1125"/>
      <c r="N360" s="1461" t="s">
        <v>40</v>
      </c>
      <c r="O360" s="1101"/>
      <c r="P360" s="1101"/>
      <c r="Q360" s="1102"/>
    </row>
    <row r="361" spans="1:20" ht="15" customHeight="1" x14ac:dyDescent="0.25">
      <c r="A361" s="366"/>
      <c r="B361" s="13"/>
      <c r="C361" s="13"/>
      <c r="D361" s="13"/>
      <c r="E361" s="13"/>
      <c r="F361" s="13"/>
      <c r="G361" s="13"/>
      <c r="H361" s="13"/>
      <c r="I361" s="13"/>
      <c r="J361" s="977" t="s">
        <v>72</v>
      </c>
      <c r="K361" s="977"/>
      <c r="L361" s="978" t="s">
        <v>42</v>
      </c>
      <c r="M361" s="978"/>
      <c r="N361" s="1292"/>
      <c r="O361" s="1293"/>
      <c r="P361" s="1293"/>
      <c r="Q361" s="1294"/>
    </row>
    <row r="362" spans="1:20" ht="57" customHeight="1" x14ac:dyDescent="0.25">
      <c r="A362" s="1480" t="s">
        <v>43</v>
      </c>
      <c r="B362" s="1481"/>
      <c r="C362" s="1114" t="s">
        <v>198</v>
      </c>
      <c r="D362" s="1114"/>
      <c r="E362" s="203" t="s">
        <v>199</v>
      </c>
      <c r="F362" s="1157" t="s">
        <v>119</v>
      </c>
      <c r="G362" s="1157"/>
      <c r="H362" s="1157" t="s">
        <v>200</v>
      </c>
      <c r="I362" s="1157"/>
      <c r="J362" s="977"/>
      <c r="K362" s="977"/>
      <c r="L362" s="189" t="s">
        <v>49</v>
      </c>
      <c r="M362" s="189" t="s">
        <v>50</v>
      </c>
      <c r="N362" s="1292"/>
      <c r="O362" s="1293"/>
      <c r="P362" s="1293"/>
      <c r="Q362" s="1294"/>
    </row>
    <row r="363" spans="1:20" ht="25.5" customHeight="1" x14ac:dyDescent="0.25">
      <c r="A363" s="1425" t="s">
        <v>375</v>
      </c>
      <c r="B363" s="1426"/>
      <c r="C363" s="1426"/>
      <c r="D363" s="1426"/>
      <c r="E363" s="1426"/>
      <c r="F363" s="1426"/>
      <c r="G363" s="1426"/>
      <c r="H363" s="1426"/>
      <c r="I363" s="1426"/>
      <c r="J363" s="1426"/>
      <c r="K363" s="1426"/>
      <c r="L363" s="1426"/>
      <c r="M363" s="1427"/>
      <c r="N363" s="1292"/>
      <c r="O363" s="1293"/>
      <c r="P363" s="1293"/>
      <c r="Q363" s="1294"/>
    </row>
    <row r="364" spans="1:20" ht="25.5" customHeight="1" x14ac:dyDescent="0.25">
      <c r="A364" s="1480" t="s">
        <v>206</v>
      </c>
      <c r="B364" s="1481"/>
      <c r="C364" s="1487">
        <f>(1*$D$3*(IF(H9&gt;300,"700000",IF(H9&gt;200,"500000","300000"))))+($D$3*($H$9/10)*35000)</f>
        <v>300000</v>
      </c>
      <c r="D364" s="1488"/>
      <c r="E364" s="447"/>
      <c r="F364" s="1479"/>
      <c r="G364" s="1479"/>
      <c r="H364" s="1479"/>
      <c r="I364" s="1479"/>
      <c r="J364" s="1281" t="e">
        <f t="shared" ref="J364:J369" si="28">E364/F364</f>
        <v>#DIV/0!</v>
      </c>
      <c r="K364" s="1282"/>
      <c r="L364" s="215">
        <v>1</v>
      </c>
      <c r="M364" s="107">
        <f t="shared" ref="M364:M369" si="29">L364*H364</f>
        <v>0</v>
      </c>
      <c r="N364" s="1292"/>
      <c r="O364" s="1293"/>
      <c r="P364" s="1293"/>
      <c r="Q364" s="1294"/>
    </row>
    <row r="365" spans="1:20" ht="25.5" customHeight="1" x14ac:dyDescent="0.25">
      <c r="A365" s="1480" t="s">
        <v>207</v>
      </c>
      <c r="B365" s="1481"/>
      <c r="C365" s="1489"/>
      <c r="D365" s="1490"/>
      <c r="E365" s="447"/>
      <c r="F365" s="1479"/>
      <c r="G365" s="1479"/>
      <c r="H365" s="1479"/>
      <c r="I365" s="1479"/>
      <c r="J365" s="1281" t="e">
        <f t="shared" si="28"/>
        <v>#DIV/0!</v>
      </c>
      <c r="K365" s="1282"/>
      <c r="L365" s="215"/>
      <c r="M365" s="107">
        <f t="shared" si="29"/>
        <v>0</v>
      </c>
      <c r="N365" s="1292"/>
      <c r="O365" s="1293"/>
      <c r="P365" s="1293"/>
      <c r="Q365" s="1294"/>
    </row>
    <row r="366" spans="1:20" ht="25.5" customHeight="1" x14ac:dyDescent="0.25">
      <c r="A366" s="1480" t="s">
        <v>208</v>
      </c>
      <c r="B366" s="1481"/>
      <c r="C366" s="1489"/>
      <c r="D366" s="1490"/>
      <c r="E366" s="447"/>
      <c r="F366" s="1479"/>
      <c r="G366" s="1479"/>
      <c r="H366" s="1479"/>
      <c r="I366" s="1479"/>
      <c r="J366" s="1281" t="e">
        <f t="shared" si="28"/>
        <v>#DIV/0!</v>
      </c>
      <c r="K366" s="1282"/>
      <c r="L366" s="215"/>
      <c r="M366" s="107">
        <f t="shared" si="29"/>
        <v>0</v>
      </c>
      <c r="N366" s="1292"/>
      <c r="O366" s="1293"/>
      <c r="P366" s="1293"/>
      <c r="Q366" s="1294"/>
    </row>
    <row r="367" spans="1:20" ht="30" customHeight="1" x14ac:dyDescent="0.25">
      <c r="A367" s="1480" t="s">
        <v>550</v>
      </c>
      <c r="B367" s="1481"/>
      <c r="C367" s="1489"/>
      <c r="D367" s="1490"/>
      <c r="E367" s="447"/>
      <c r="F367" s="1479"/>
      <c r="G367" s="1479"/>
      <c r="H367" s="1479"/>
      <c r="I367" s="1479"/>
      <c r="J367" s="1281" t="e">
        <f t="shared" si="28"/>
        <v>#DIV/0!</v>
      </c>
      <c r="K367" s="1282"/>
      <c r="L367" s="215"/>
      <c r="M367" s="107">
        <f t="shared" si="29"/>
        <v>0</v>
      </c>
      <c r="N367" s="1292"/>
      <c r="O367" s="1293"/>
      <c r="P367" s="1293"/>
      <c r="Q367" s="1294"/>
    </row>
    <row r="368" spans="1:20" ht="25.5" customHeight="1" x14ac:dyDescent="0.25">
      <c r="A368" s="1480" t="s">
        <v>210</v>
      </c>
      <c r="B368" s="1481"/>
      <c r="C368" s="1489"/>
      <c r="D368" s="1490"/>
      <c r="E368" s="447"/>
      <c r="F368" s="1479"/>
      <c r="G368" s="1479"/>
      <c r="H368" s="1479"/>
      <c r="I368" s="1479"/>
      <c r="J368" s="1281" t="e">
        <f t="shared" si="28"/>
        <v>#DIV/0!</v>
      </c>
      <c r="K368" s="1282"/>
      <c r="L368" s="215"/>
      <c r="M368" s="107">
        <f t="shared" si="29"/>
        <v>0</v>
      </c>
      <c r="N368" s="1292"/>
      <c r="O368" s="1293"/>
      <c r="P368" s="1293"/>
      <c r="Q368" s="1294"/>
    </row>
    <row r="369" spans="1:20" ht="25.5" customHeight="1" x14ac:dyDescent="0.25">
      <c r="A369" s="1485" t="s">
        <v>205</v>
      </c>
      <c r="B369" s="1486"/>
      <c r="C369" s="1491"/>
      <c r="D369" s="1492"/>
      <c r="E369" s="447"/>
      <c r="F369" s="1479"/>
      <c r="G369" s="1479"/>
      <c r="H369" s="1479"/>
      <c r="I369" s="1479"/>
      <c r="J369" s="1281" t="e">
        <f t="shared" si="28"/>
        <v>#DIV/0!</v>
      </c>
      <c r="K369" s="1282"/>
      <c r="L369" s="215"/>
      <c r="M369" s="107">
        <f t="shared" si="29"/>
        <v>0</v>
      </c>
      <c r="N369" s="1292"/>
      <c r="O369" s="1293"/>
      <c r="P369" s="1293"/>
      <c r="Q369" s="1294"/>
    </row>
    <row r="370" spans="1:20" ht="25.5" customHeight="1" x14ac:dyDescent="0.25">
      <c r="A370" s="1425" t="s">
        <v>523</v>
      </c>
      <c r="B370" s="1426"/>
      <c r="C370" s="1426"/>
      <c r="D370" s="1426"/>
      <c r="E370" s="1426"/>
      <c r="F370" s="1426"/>
      <c r="G370" s="1426"/>
      <c r="H370" s="1426"/>
      <c r="I370" s="1426"/>
      <c r="J370" s="1426"/>
      <c r="K370" s="1426"/>
      <c r="L370" s="1426"/>
      <c r="M370" s="1427"/>
      <c r="N370" s="1292"/>
      <c r="O370" s="1293"/>
      <c r="P370" s="1293"/>
      <c r="Q370" s="1294"/>
    </row>
    <row r="371" spans="1:20" ht="30" customHeight="1" x14ac:dyDescent="0.25">
      <c r="A371" s="1480" t="s">
        <v>206</v>
      </c>
      <c r="B371" s="1481"/>
      <c r="C371" s="1493"/>
      <c r="D371" s="1494"/>
      <c r="E371" s="447"/>
      <c r="F371" s="1479"/>
      <c r="G371" s="1479"/>
      <c r="H371" s="1479"/>
      <c r="I371" s="1479"/>
      <c r="J371" s="1281" t="e">
        <f>E371/F371</f>
        <v>#DIV/0!</v>
      </c>
      <c r="K371" s="1282"/>
      <c r="L371" s="215" t="e">
        <f t="shared" ref="L371:L377" si="30">M371/H371</f>
        <v>#REF!</v>
      </c>
      <c r="M371" s="107" t="e">
        <f>SUM(#REF!)</f>
        <v>#REF!</v>
      </c>
      <c r="N371" s="1292"/>
      <c r="O371" s="1293"/>
      <c r="P371" s="1293"/>
      <c r="Q371" s="1294"/>
    </row>
    <row r="372" spans="1:20" ht="30" customHeight="1" x14ac:dyDescent="0.25">
      <c r="A372" s="1480" t="s">
        <v>207</v>
      </c>
      <c r="B372" s="1481"/>
      <c r="C372" s="1495"/>
      <c r="D372" s="1496"/>
      <c r="E372" s="447"/>
      <c r="F372" s="1479"/>
      <c r="G372" s="1479"/>
      <c r="H372" s="1479"/>
      <c r="I372" s="1479"/>
      <c r="J372" s="1281" t="e">
        <f t="shared" ref="J372:J377" si="31">E372/F372</f>
        <v>#DIV/0!</v>
      </c>
      <c r="K372" s="1282"/>
      <c r="L372" s="215" t="e">
        <f t="shared" si="30"/>
        <v>#REF!</v>
      </c>
      <c r="M372" s="107" t="e">
        <f>SUM(#REF!)</f>
        <v>#REF!</v>
      </c>
      <c r="N372" s="1292"/>
      <c r="O372" s="1293"/>
      <c r="P372" s="1293"/>
      <c r="Q372" s="1294"/>
    </row>
    <row r="373" spans="1:20" ht="30" customHeight="1" x14ac:dyDescent="0.25">
      <c r="A373" s="1480" t="s">
        <v>208</v>
      </c>
      <c r="B373" s="1481"/>
      <c r="C373" s="1495"/>
      <c r="D373" s="1496"/>
      <c r="E373" s="447"/>
      <c r="F373" s="1479"/>
      <c r="G373" s="1479"/>
      <c r="H373" s="1479"/>
      <c r="I373" s="1479"/>
      <c r="J373" s="1281" t="e">
        <f t="shared" si="31"/>
        <v>#DIV/0!</v>
      </c>
      <c r="K373" s="1282"/>
      <c r="L373" s="215" t="e">
        <f t="shared" si="30"/>
        <v>#REF!</v>
      </c>
      <c r="M373" s="107" t="e">
        <f>SUM(#REF!)</f>
        <v>#REF!</v>
      </c>
      <c r="N373" s="1292"/>
      <c r="O373" s="1293"/>
      <c r="P373" s="1293"/>
      <c r="Q373" s="1294"/>
    </row>
    <row r="374" spans="1:20" ht="30" customHeight="1" x14ac:dyDescent="0.25">
      <c r="A374" s="1480" t="s">
        <v>209</v>
      </c>
      <c r="B374" s="1481"/>
      <c r="C374" s="1495"/>
      <c r="D374" s="1496"/>
      <c r="E374" s="447"/>
      <c r="F374" s="1479"/>
      <c r="G374" s="1479"/>
      <c r="H374" s="1479"/>
      <c r="I374" s="1479"/>
      <c r="J374" s="1281" t="e">
        <f t="shared" si="31"/>
        <v>#DIV/0!</v>
      </c>
      <c r="K374" s="1282"/>
      <c r="L374" s="215" t="e">
        <f t="shared" si="30"/>
        <v>#REF!</v>
      </c>
      <c r="M374" s="107" t="e">
        <f>SUM(#REF!)</f>
        <v>#REF!</v>
      </c>
      <c r="N374" s="1292"/>
      <c r="O374" s="1293"/>
      <c r="P374" s="1293"/>
      <c r="Q374" s="1294"/>
    </row>
    <row r="375" spans="1:20" ht="30" customHeight="1" x14ac:dyDescent="0.25">
      <c r="A375" s="1480" t="s">
        <v>210</v>
      </c>
      <c r="B375" s="1481"/>
      <c r="C375" s="1495"/>
      <c r="D375" s="1496"/>
      <c r="E375" s="447"/>
      <c r="F375" s="1479"/>
      <c r="G375" s="1479"/>
      <c r="H375" s="1479"/>
      <c r="I375" s="1479"/>
      <c r="J375" s="1281" t="e">
        <f t="shared" si="31"/>
        <v>#DIV/0!</v>
      </c>
      <c r="K375" s="1282"/>
      <c r="L375" s="215" t="e">
        <f t="shared" si="30"/>
        <v>#REF!</v>
      </c>
      <c r="M375" s="107" t="e">
        <f>SUM(#REF!)</f>
        <v>#REF!</v>
      </c>
      <c r="N375" s="1292"/>
      <c r="O375" s="1293"/>
      <c r="P375" s="1293"/>
      <c r="Q375" s="1294"/>
    </row>
    <row r="376" spans="1:20" ht="30" customHeight="1" thickBot="1" x14ac:dyDescent="0.3">
      <c r="A376" s="1485" t="s">
        <v>205</v>
      </c>
      <c r="B376" s="1486"/>
      <c r="C376" s="1495"/>
      <c r="D376" s="1496"/>
      <c r="E376" s="448"/>
      <c r="F376" s="1483"/>
      <c r="G376" s="1483"/>
      <c r="H376" s="1483"/>
      <c r="I376" s="1483"/>
      <c r="J376" s="1350" t="e">
        <f t="shared" si="31"/>
        <v>#DIV/0!</v>
      </c>
      <c r="K376" s="1351"/>
      <c r="L376" s="155" t="e">
        <f t="shared" si="30"/>
        <v>#REF!</v>
      </c>
      <c r="M376" s="96" t="e">
        <f>SUM(#REF!)</f>
        <v>#REF!</v>
      </c>
      <c r="N376" s="1292"/>
      <c r="O376" s="1293"/>
      <c r="P376" s="1293"/>
      <c r="Q376" s="1294"/>
    </row>
    <row r="377" spans="1:20" ht="15.75" thickBot="1" x14ac:dyDescent="0.3">
      <c r="A377" s="1469" t="s">
        <v>163</v>
      </c>
      <c r="B377" s="1471"/>
      <c r="C377" s="1502">
        <f>SUM(C371:D376,C364)</f>
        <v>300000</v>
      </c>
      <c r="D377" s="1502"/>
      <c r="E377" s="220">
        <f>SUM(E371:E376,E364:E369)</f>
        <v>0</v>
      </c>
      <c r="F377" s="1484">
        <f>SUM(F371:G376,F364:G369)</f>
        <v>0</v>
      </c>
      <c r="G377" s="1484"/>
      <c r="H377" s="1484">
        <f>SUM(H371:I376,H364:I369)</f>
        <v>0</v>
      </c>
      <c r="I377" s="1484"/>
      <c r="J377" s="1355" t="e">
        <f t="shared" si="31"/>
        <v>#DIV/0!</v>
      </c>
      <c r="K377" s="1356"/>
      <c r="L377" s="130" t="e">
        <f t="shared" si="30"/>
        <v>#REF!</v>
      </c>
      <c r="M377" s="131" t="e">
        <f>SUM(M371:M376,M364:M369)</f>
        <v>#REF!</v>
      </c>
      <c r="N377" s="1462"/>
      <c r="O377" s="1462"/>
      <c r="P377" s="1462"/>
      <c r="Q377" s="1463"/>
    </row>
    <row r="378" spans="1:20" x14ac:dyDescent="0.25">
      <c r="C378" s="154"/>
      <c r="D378" s="154"/>
      <c r="E378" s="154"/>
      <c r="F378" s="154"/>
      <c r="G378" s="154"/>
      <c r="H378" s="154"/>
      <c r="I378" s="154"/>
    </row>
    <row r="379" spans="1:20" s="9" customFormat="1" ht="15.75" thickBot="1" x14ac:dyDescent="0.3">
      <c r="A379"/>
      <c r="B379"/>
      <c r="C379"/>
      <c r="D379"/>
      <c r="E379"/>
      <c r="F379"/>
      <c r="G379"/>
      <c r="H379"/>
      <c r="I379"/>
      <c r="J379"/>
      <c r="K379"/>
      <c r="L379"/>
      <c r="M379"/>
      <c r="N379" s="104"/>
      <c r="O379" s="104"/>
      <c r="P379" s="104"/>
      <c r="Q379" s="104"/>
      <c r="R379" s="104"/>
      <c r="S379" s="104"/>
      <c r="T379" s="104"/>
    </row>
    <row r="380" spans="1:20" ht="27.75" customHeight="1" x14ac:dyDescent="0.25">
      <c r="A380" s="1503" t="s">
        <v>754</v>
      </c>
      <c r="B380" s="1504"/>
      <c r="C380" s="1504"/>
      <c r="D380" s="1504"/>
      <c r="E380" s="1504"/>
      <c r="F380" s="1504"/>
      <c r="G380" s="1504"/>
      <c r="H380" s="1504"/>
      <c r="I380" s="1504"/>
      <c r="J380" s="1504"/>
      <c r="K380" s="1504"/>
      <c r="L380" s="1504"/>
      <c r="M380" s="1504"/>
      <c r="N380" s="1504"/>
      <c r="O380" s="1504"/>
      <c r="P380" s="1504"/>
      <c r="Q380" s="1505"/>
    </row>
    <row r="381" spans="1:20" ht="18" x14ac:dyDescent="0.25">
      <c r="A381" s="367"/>
      <c r="B381" s="156"/>
      <c r="C381" s="156"/>
      <c r="D381" s="156"/>
      <c r="E381" s="156"/>
      <c r="F381" s="156"/>
      <c r="G381" s="156"/>
      <c r="H381" s="156"/>
      <c r="I381" s="156"/>
      <c r="J381" s="156"/>
      <c r="K381" s="1512" t="s">
        <v>39</v>
      </c>
      <c r="L381" s="1512"/>
      <c r="M381" s="1512"/>
      <c r="N381" s="1512"/>
      <c r="O381" s="1513" t="s">
        <v>211</v>
      </c>
      <c r="P381" s="1513"/>
      <c r="Q381" s="1514"/>
    </row>
    <row r="382" spans="1:20" ht="37.5" customHeight="1" x14ac:dyDescent="0.25">
      <c r="A382" s="1497" t="s">
        <v>0</v>
      </c>
      <c r="B382" s="1498" t="s">
        <v>1</v>
      </c>
      <c r="C382" s="1498"/>
      <c r="D382" s="1499" t="s">
        <v>213</v>
      </c>
      <c r="E382" s="1499"/>
      <c r="F382" s="1499" t="s">
        <v>282</v>
      </c>
      <c r="G382" s="1499"/>
      <c r="H382" s="1499"/>
      <c r="I382" s="1498" t="s">
        <v>755</v>
      </c>
      <c r="J382" s="1500"/>
      <c r="K382" s="1501" t="s">
        <v>214</v>
      </c>
      <c r="L382" s="1501"/>
      <c r="M382" s="1498" t="s">
        <v>559</v>
      </c>
      <c r="N382" s="1498"/>
      <c r="O382" s="1513"/>
      <c r="P382" s="1513"/>
      <c r="Q382" s="1514"/>
    </row>
    <row r="383" spans="1:20" ht="73.5" customHeight="1" x14ac:dyDescent="0.25">
      <c r="A383" s="1497"/>
      <c r="B383" s="1498"/>
      <c r="C383" s="1498"/>
      <c r="D383" s="221" t="s">
        <v>42</v>
      </c>
      <c r="E383" s="221" t="s">
        <v>215</v>
      </c>
      <c r="F383" s="221" t="s">
        <v>42</v>
      </c>
      <c r="G383" s="184" t="s">
        <v>556</v>
      </c>
      <c r="H383" s="221" t="s">
        <v>217</v>
      </c>
      <c r="I383" s="1498"/>
      <c r="J383" s="1500"/>
      <c r="K383" s="186" t="s">
        <v>213</v>
      </c>
      <c r="L383" s="186" t="s">
        <v>213</v>
      </c>
      <c r="M383" s="1498"/>
      <c r="N383" s="1498"/>
      <c r="O383" s="1513"/>
      <c r="P383" s="1513"/>
      <c r="Q383" s="1514"/>
    </row>
    <row r="384" spans="1:20" ht="15.75" x14ac:dyDescent="0.25">
      <c r="A384" s="368">
        <v>1</v>
      </c>
      <c r="B384" s="1506" t="s">
        <v>3</v>
      </c>
      <c r="C384" s="1506"/>
      <c r="D384" s="449"/>
      <c r="E384" s="449"/>
      <c r="F384" s="449"/>
      <c r="G384" s="449"/>
      <c r="H384" s="449"/>
      <c r="I384" s="1508">
        <f>H60</f>
        <v>0</v>
      </c>
      <c r="J384" s="1508"/>
      <c r="K384" s="158" t="e">
        <f>E384/D384</f>
        <v>#DIV/0!</v>
      </c>
      <c r="L384" s="158" t="e">
        <f>H384/G384</f>
        <v>#DIV/0!</v>
      </c>
      <c r="M384" s="1509"/>
      <c r="N384" s="1509"/>
      <c r="O384" s="1510"/>
      <c r="P384" s="1510"/>
      <c r="Q384" s="1511"/>
    </row>
    <row r="385" spans="1:20" ht="15.75" x14ac:dyDescent="0.25">
      <c r="A385" s="368">
        <v>2</v>
      </c>
      <c r="B385" s="1506" t="s">
        <v>4</v>
      </c>
      <c r="C385" s="1506"/>
      <c r="D385" s="449"/>
      <c r="E385" s="449"/>
      <c r="F385" s="449"/>
      <c r="G385" s="449"/>
      <c r="H385" s="449"/>
      <c r="I385" s="1507">
        <f>H70</f>
        <v>0</v>
      </c>
      <c r="J385" s="1508"/>
      <c r="K385" s="158" t="e">
        <f t="shared" ref="K385:K404" si="32">E385/D385</f>
        <v>#DIV/0!</v>
      </c>
      <c r="L385" s="158" t="e">
        <f t="shared" ref="L385:L404" si="33">H385/G385</f>
        <v>#DIV/0!</v>
      </c>
      <c r="M385" s="1509"/>
      <c r="N385" s="1509"/>
      <c r="O385" s="1510"/>
      <c r="P385" s="1510"/>
      <c r="Q385" s="1511"/>
    </row>
    <row r="386" spans="1:20" ht="15.75" x14ac:dyDescent="0.25">
      <c r="A386" s="368">
        <v>3</v>
      </c>
      <c r="B386" s="1506" t="s">
        <v>5</v>
      </c>
      <c r="C386" s="1506"/>
      <c r="D386" s="449"/>
      <c r="E386" s="449"/>
      <c r="F386" s="449"/>
      <c r="G386" s="449"/>
      <c r="H386" s="449"/>
      <c r="I386" s="1507">
        <f>H82</f>
        <v>0</v>
      </c>
      <c r="J386" s="1508"/>
      <c r="K386" s="158" t="e">
        <f t="shared" si="32"/>
        <v>#DIV/0!</v>
      </c>
      <c r="L386" s="158" t="e">
        <f t="shared" si="33"/>
        <v>#DIV/0!</v>
      </c>
      <c r="M386" s="1509"/>
      <c r="N386" s="1509"/>
      <c r="O386" s="1510"/>
      <c r="P386" s="1510"/>
      <c r="Q386" s="1511"/>
    </row>
    <row r="387" spans="1:20" ht="15.75" x14ac:dyDescent="0.25">
      <c r="A387" s="368">
        <v>4</v>
      </c>
      <c r="B387" s="1506" t="s">
        <v>6</v>
      </c>
      <c r="C387" s="1506"/>
      <c r="D387" s="449"/>
      <c r="E387" s="449"/>
      <c r="F387" s="449"/>
      <c r="G387" s="449"/>
      <c r="H387" s="449"/>
      <c r="I387" s="1507">
        <f>H99</f>
        <v>0</v>
      </c>
      <c r="J387" s="1508"/>
      <c r="K387" s="158" t="e">
        <f t="shared" si="32"/>
        <v>#DIV/0!</v>
      </c>
      <c r="L387" s="158" t="e">
        <f t="shared" si="33"/>
        <v>#DIV/0!</v>
      </c>
      <c r="M387" s="1509"/>
      <c r="N387" s="1509"/>
      <c r="O387" s="1510"/>
      <c r="P387" s="1510"/>
      <c r="Q387" s="1511"/>
    </row>
    <row r="388" spans="1:20" ht="15.75" x14ac:dyDescent="0.25">
      <c r="A388" s="368">
        <v>5</v>
      </c>
      <c r="B388" s="1506" t="s">
        <v>7</v>
      </c>
      <c r="C388" s="1506"/>
      <c r="D388" s="449"/>
      <c r="E388" s="449"/>
      <c r="F388" s="449"/>
      <c r="G388" s="449"/>
      <c r="H388" s="449"/>
      <c r="I388" s="1507">
        <f>I133</f>
        <v>0</v>
      </c>
      <c r="J388" s="1508"/>
      <c r="K388" s="158" t="e">
        <f t="shared" si="32"/>
        <v>#DIV/0!</v>
      </c>
      <c r="L388" s="158" t="e">
        <f t="shared" si="33"/>
        <v>#DIV/0!</v>
      </c>
      <c r="M388" s="1509"/>
      <c r="N388" s="1509"/>
      <c r="O388" s="1510"/>
      <c r="P388" s="1510"/>
      <c r="Q388" s="1511"/>
    </row>
    <row r="389" spans="1:20" ht="15.75" x14ac:dyDescent="0.25">
      <c r="A389" s="368">
        <v>6</v>
      </c>
      <c r="B389" s="1506" t="s">
        <v>8</v>
      </c>
      <c r="C389" s="1506"/>
      <c r="D389" s="449"/>
      <c r="E389" s="449"/>
      <c r="F389" s="449"/>
      <c r="G389" s="449"/>
      <c r="H389" s="449"/>
      <c r="I389" s="1507">
        <f>J140</f>
        <v>0</v>
      </c>
      <c r="J389" s="1508"/>
      <c r="K389" s="158" t="e">
        <f t="shared" si="32"/>
        <v>#DIV/0!</v>
      </c>
      <c r="L389" s="158" t="e">
        <f t="shared" si="33"/>
        <v>#DIV/0!</v>
      </c>
      <c r="M389" s="1509"/>
      <c r="N389" s="1509"/>
      <c r="O389" s="1510"/>
      <c r="P389" s="1510"/>
      <c r="Q389" s="1511"/>
      <c r="R389" s="6"/>
      <c r="S389" s="6"/>
      <c r="T389" s="6"/>
    </row>
    <row r="390" spans="1:20" ht="15.75" x14ac:dyDescent="0.25">
      <c r="A390" s="368">
        <v>7</v>
      </c>
      <c r="B390" s="1506" t="s">
        <v>9</v>
      </c>
      <c r="C390" s="1506"/>
      <c r="D390" s="449"/>
      <c r="E390" s="449"/>
      <c r="F390" s="449"/>
      <c r="G390" s="449"/>
      <c r="H390" s="449"/>
      <c r="I390" s="1507">
        <f>I155</f>
        <v>0</v>
      </c>
      <c r="J390" s="1508"/>
      <c r="K390" s="158" t="e">
        <f t="shared" si="32"/>
        <v>#DIV/0!</v>
      </c>
      <c r="L390" s="158" t="e">
        <f t="shared" si="33"/>
        <v>#DIV/0!</v>
      </c>
      <c r="M390" s="1509"/>
      <c r="N390" s="1509"/>
      <c r="O390" s="1510"/>
      <c r="P390" s="1510"/>
      <c r="Q390" s="1511"/>
      <c r="R390" s="6"/>
      <c r="S390" s="6"/>
      <c r="T390" s="6"/>
    </row>
    <row r="391" spans="1:20" ht="15.75" x14ac:dyDescent="0.25">
      <c r="A391" s="368">
        <v>8</v>
      </c>
      <c r="B391" s="1506" t="s">
        <v>10</v>
      </c>
      <c r="C391" s="1506"/>
      <c r="D391" s="449"/>
      <c r="E391" s="449"/>
      <c r="F391" s="449"/>
      <c r="G391" s="449"/>
      <c r="H391" s="449"/>
      <c r="I391" s="1507">
        <f>H166</f>
        <v>0</v>
      </c>
      <c r="J391" s="1508"/>
      <c r="K391" s="158" t="e">
        <f t="shared" si="32"/>
        <v>#DIV/0!</v>
      </c>
      <c r="L391" s="158" t="e">
        <f t="shared" si="33"/>
        <v>#DIV/0!</v>
      </c>
      <c r="M391" s="1509"/>
      <c r="N391" s="1509"/>
      <c r="O391" s="1510"/>
      <c r="P391" s="1510"/>
      <c r="Q391" s="1511"/>
      <c r="R391" s="6"/>
      <c r="S391" s="6"/>
      <c r="T391" s="6"/>
    </row>
    <row r="392" spans="1:20" ht="15.75" x14ac:dyDescent="0.25">
      <c r="A392" s="368">
        <v>9</v>
      </c>
      <c r="B392" s="1506" t="s">
        <v>11</v>
      </c>
      <c r="C392" s="1506"/>
      <c r="D392" s="449"/>
      <c r="E392" s="449"/>
      <c r="F392" s="449"/>
      <c r="G392" s="449"/>
      <c r="H392" s="449"/>
      <c r="I392" s="1507">
        <f>H175</f>
        <v>0</v>
      </c>
      <c r="J392" s="1508"/>
      <c r="K392" s="158" t="e">
        <f t="shared" si="32"/>
        <v>#DIV/0!</v>
      </c>
      <c r="L392" s="158" t="e">
        <f t="shared" si="33"/>
        <v>#DIV/0!</v>
      </c>
      <c r="M392" s="1509"/>
      <c r="N392" s="1509"/>
      <c r="O392" s="1510"/>
      <c r="P392" s="1510"/>
      <c r="Q392" s="1511"/>
      <c r="R392" s="6"/>
      <c r="S392" s="6"/>
      <c r="T392" s="6"/>
    </row>
    <row r="393" spans="1:20" ht="15.75" x14ac:dyDescent="0.25">
      <c r="A393" s="368">
        <v>10</v>
      </c>
      <c r="B393" s="1506" t="s">
        <v>12</v>
      </c>
      <c r="C393" s="1506"/>
      <c r="D393" s="449"/>
      <c r="E393" s="449"/>
      <c r="F393" s="449"/>
      <c r="G393" s="449"/>
      <c r="H393" s="449"/>
      <c r="I393" s="1507">
        <f>H238</f>
        <v>0</v>
      </c>
      <c r="J393" s="1508"/>
      <c r="K393" s="158" t="e">
        <f t="shared" si="32"/>
        <v>#DIV/0!</v>
      </c>
      <c r="L393" s="158" t="e">
        <f t="shared" si="33"/>
        <v>#DIV/0!</v>
      </c>
      <c r="M393" s="1509"/>
      <c r="N393" s="1509"/>
      <c r="O393" s="1510"/>
      <c r="P393" s="1510"/>
      <c r="Q393" s="1511"/>
      <c r="R393" s="6"/>
      <c r="S393" s="6"/>
      <c r="T393" s="6"/>
    </row>
    <row r="394" spans="1:20" ht="15.75" x14ac:dyDescent="0.25">
      <c r="A394" s="368">
        <v>11</v>
      </c>
      <c r="B394" s="1506" t="s">
        <v>13</v>
      </c>
      <c r="C394" s="1506"/>
      <c r="D394" s="449"/>
      <c r="E394" s="449"/>
      <c r="F394" s="449"/>
      <c r="G394" s="449"/>
      <c r="H394" s="449"/>
      <c r="I394" s="1507">
        <f>G258</f>
        <v>0</v>
      </c>
      <c r="J394" s="1508"/>
      <c r="K394" s="158" t="e">
        <f t="shared" si="32"/>
        <v>#DIV/0!</v>
      </c>
      <c r="L394" s="158" t="e">
        <f t="shared" si="33"/>
        <v>#DIV/0!</v>
      </c>
      <c r="M394" s="1509"/>
      <c r="N394" s="1509"/>
      <c r="O394" s="1510"/>
      <c r="P394" s="1510"/>
      <c r="Q394" s="1511"/>
      <c r="R394" s="6"/>
      <c r="S394" s="6"/>
      <c r="T394" s="6"/>
    </row>
    <row r="395" spans="1:20" ht="15.75" x14ac:dyDescent="0.25">
      <c r="A395" s="368">
        <v>12</v>
      </c>
      <c r="B395" s="1506" t="s">
        <v>14</v>
      </c>
      <c r="C395" s="1506"/>
      <c r="D395" s="449"/>
      <c r="E395" s="449"/>
      <c r="F395" s="449"/>
      <c r="G395" s="449"/>
      <c r="H395" s="449"/>
      <c r="I395" s="1507">
        <f>I265</f>
        <v>0</v>
      </c>
      <c r="J395" s="1508"/>
      <c r="K395" s="158" t="e">
        <f t="shared" si="32"/>
        <v>#DIV/0!</v>
      </c>
      <c r="L395" s="158" t="e">
        <f t="shared" si="33"/>
        <v>#DIV/0!</v>
      </c>
      <c r="M395" s="1509"/>
      <c r="N395" s="1509"/>
      <c r="O395" s="1510"/>
      <c r="P395" s="1510"/>
      <c r="Q395" s="1511"/>
      <c r="R395" s="6"/>
      <c r="S395" s="6"/>
      <c r="T395" s="6"/>
    </row>
    <row r="396" spans="1:20" ht="15.75" x14ac:dyDescent="0.25">
      <c r="A396" s="368">
        <v>13</v>
      </c>
      <c r="B396" s="1506" t="s">
        <v>15</v>
      </c>
      <c r="C396" s="1506"/>
      <c r="D396" s="449"/>
      <c r="E396" s="449"/>
      <c r="F396" s="449"/>
      <c r="G396" s="449"/>
      <c r="H396" s="449"/>
      <c r="I396" s="1507">
        <f>H272</f>
        <v>0</v>
      </c>
      <c r="J396" s="1508"/>
      <c r="K396" s="158" t="e">
        <f t="shared" si="32"/>
        <v>#DIV/0!</v>
      </c>
      <c r="L396" s="158" t="e">
        <f t="shared" si="33"/>
        <v>#DIV/0!</v>
      </c>
      <c r="M396" s="1509"/>
      <c r="N396" s="1509"/>
      <c r="O396" s="1510"/>
      <c r="P396" s="1510"/>
      <c r="Q396" s="1511"/>
      <c r="R396" s="6"/>
      <c r="S396" s="6"/>
      <c r="T396" s="6"/>
    </row>
    <row r="397" spans="1:20" ht="15.75" x14ac:dyDescent="0.25">
      <c r="A397" s="368">
        <v>14</v>
      </c>
      <c r="B397" s="1506" t="s">
        <v>16</v>
      </c>
      <c r="C397" s="1506"/>
      <c r="D397" s="449"/>
      <c r="E397" s="449"/>
      <c r="F397" s="449"/>
      <c r="G397" s="449"/>
      <c r="H397" s="449"/>
      <c r="I397" s="1507">
        <f>H283</f>
        <v>0</v>
      </c>
      <c r="J397" s="1508"/>
      <c r="K397" s="158" t="e">
        <f t="shared" si="32"/>
        <v>#DIV/0!</v>
      </c>
      <c r="L397" s="158" t="e">
        <f t="shared" si="33"/>
        <v>#DIV/0!</v>
      </c>
      <c r="M397" s="1509"/>
      <c r="N397" s="1509"/>
      <c r="O397" s="1510"/>
      <c r="P397" s="1510"/>
      <c r="Q397" s="1511"/>
      <c r="R397" s="6"/>
      <c r="S397" s="6"/>
      <c r="T397" s="6"/>
    </row>
    <row r="398" spans="1:20" ht="15.75" x14ac:dyDescent="0.25">
      <c r="A398" s="368">
        <v>15</v>
      </c>
      <c r="B398" s="1506" t="s">
        <v>17</v>
      </c>
      <c r="C398" s="1506"/>
      <c r="D398" s="449"/>
      <c r="E398" s="449"/>
      <c r="F398" s="449"/>
      <c r="G398" s="449"/>
      <c r="H398" s="449"/>
      <c r="I398" s="1507">
        <f>H308</f>
        <v>0</v>
      </c>
      <c r="J398" s="1508"/>
      <c r="K398" s="158" t="e">
        <f t="shared" si="32"/>
        <v>#DIV/0!</v>
      </c>
      <c r="L398" s="158" t="e">
        <f t="shared" si="33"/>
        <v>#DIV/0!</v>
      </c>
      <c r="M398" s="1509"/>
      <c r="N398" s="1509"/>
      <c r="O398" s="1510"/>
      <c r="P398" s="1510"/>
      <c r="Q398" s="1511"/>
      <c r="R398" s="6"/>
      <c r="S398" s="6"/>
      <c r="T398" s="6"/>
    </row>
    <row r="399" spans="1:20" ht="15.75" x14ac:dyDescent="0.25">
      <c r="A399" s="368">
        <v>16</v>
      </c>
      <c r="B399" s="1506" t="s">
        <v>18</v>
      </c>
      <c r="C399" s="1506"/>
      <c r="D399" s="449"/>
      <c r="E399" s="449"/>
      <c r="F399" s="449"/>
      <c r="G399" s="449"/>
      <c r="H399" s="449"/>
      <c r="I399" s="1507">
        <f>H348</f>
        <v>0</v>
      </c>
      <c r="J399" s="1508"/>
      <c r="K399" s="158" t="e">
        <f t="shared" si="32"/>
        <v>#DIV/0!</v>
      </c>
      <c r="L399" s="158" t="e">
        <f t="shared" si="33"/>
        <v>#DIV/0!</v>
      </c>
      <c r="M399" s="1509"/>
      <c r="N399" s="1509"/>
      <c r="O399" s="1510"/>
      <c r="P399" s="1510"/>
      <c r="Q399" s="1511"/>
      <c r="R399" s="6"/>
      <c r="S399" s="6"/>
      <c r="T399" s="6"/>
    </row>
    <row r="400" spans="1:20" ht="15.75" x14ac:dyDescent="0.25">
      <c r="A400" s="368">
        <v>17</v>
      </c>
      <c r="B400" s="1506" t="s">
        <v>19</v>
      </c>
      <c r="C400" s="1506"/>
      <c r="D400" s="449"/>
      <c r="E400" s="449"/>
      <c r="F400" s="449"/>
      <c r="G400" s="449"/>
      <c r="H400" s="449"/>
      <c r="I400" s="1507">
        <f>H358</f>
        <v>0</v>
      </c>
      <c r="J400" s="1508"/>
      <c r="K400" s="158" t="e">
        <f t="shared" si="32"/>
        <v>#DIV/0!</v>
      </c>
      <c r="L400" s="158" t="e">
        <f t="shared" si="33"/>
        <v>#DIV/0!</v>
      </c>
      <c r="M400" s="1509"/>
      <c r="N400" s="1509"/>
      <c r="O400" s="1510"/>
      <c r="P400" s="1510"/>
      <c r="Q400" s="1511"/>
      <c r="R400" s="6"/>
      <c r="S400" s="6"/>
      <c r="T400" s="6"/>
    </row>
    <row r="401" spans="1:20" ht="16.5" thickBot="1" x14ac:dyDescent="0.3">
      <c r="A401" s="369">
        <v>18</v>
      </c>
      <c r="B401" s="1526" t="s">
        <v>20</v>
      </c>
      <c r="C401" s="1526"/>
      <c r="D401" s="450"/>
      <c r="E401" s="450"/>
      <c r="F401" s="450"/>
      <c r="G401" s="450"/>
      <c r="H401" s="450"/>
      <c r="I401" s="1527">
        <f>H377</f>
        <v>0</v>
      </c>
      <c r="J401" s="1528"/>
      <c r="K401" s="160" t="e">
        <f t="shared" si="32"/>
        <v>#DIV/0!</v>
      </c>
      <c r="L401" s="160" t="e">
        <f t="shared" si="33"/>
        <v>#DIV/0!</v>
      </c>
      <c r="M401" s="1529"/>
      <c r="N401" s="1529"/>
      <c r="O401" s="1530"/>
      <c r="P401" s="1530"/>
      <c r="Q401" s="1531"/>
      <c r="R401" s="6"/>
      <c r="S401" s="6"/>
      <c r="T401" s="6"/>
    </row>
    <row r="402" spans="1:20" ht="16.5" thickBot="1" x14ac:dyDescent="0.3">
      <c r="A402" s="370"/>
      <c r="B402" s="1515" t="s">
        <v>2</v>
      </c>
      <c r="C402" s="1515"/>
      <c r="D402" s="371">
        <f>SUM(D384:D401)</f>
        <v>0</v>
      </c>
      <c r="E402" s="371">
        <f>SUM(E384:E401)</f>
        <v>0</v>
      </c>
      <c r="F402" s="371">
        <f>SUM(F384:F401)</f>
        <v>0</v>
      </c>
      <c r="G402" s="371">
        <f>SUM(G384:G401)</f>
        <v>0</v>
      </c>
      <c r="H402" s="371">
        <f>SUM(H384:H401)</f>
        <v>0</v>
      </c>
      <c r="I402" s="1516">
        <f>SUM(I384:J401)</f>
        <v>0</v>
      </c>
      <c r="J402" s="1516"/>
      <c r="K402" s="161" t="e">
        <f t="shared" si="32"/>
        <v>#DIV/0!</v>
      </c>
      <c r="L402" s="161" t="e">
        <f t="shared" si="33"/>
        <v>#DIV/0!</v>
      </c>
      <c r="M402" s="1517">
        <f>SUM(M384:N401)</f>
        <v>0</v>
      </c>
      <c r="N402" s="1517"/>
      <c r="O402" s="1518"/>
      <c r="P402" s="1518"/>
      <c r="Q402" s="1519"/>
      <c r="R402" s="6"/>
      <c r="S402" s="6"/>
      <c r="T402" s="6"/>
    </row>
    <row r="403" spans="1:20" ht="16.5" thickBot="1" x14ac:dyDescent="0.3">
      <c r="A403" s="372">
        <v>19</v>
      </c>
      <c r="B403" s="1520" t="s">
        <v>21</v>
      </c>
      <c r="C403" s="1520"/>
      <c r="D403" s="451"/>
      <c r="E403" s="451"/>
      <c r="F403" s="451"/>
      <c r="G403" s="451"/>
      <c r="H403" s="451"/>
      <c r="I403" s="1521">
        <f>F459</f>
        <v>0</v>
      </c>
      <c r="J403" s="1522"/>
      <c r="K403" s="162" t="e">
        <f t="shared" si="32"/>
        <v>#DIV/0!</v>
      </c>
      <c r="L403" s="162" t="e">
        <f t="shared" si="33"/>
        <v>#DIV/0!</v>
      </c>
      <c r="M403" s="1523">
        <f>J459</f>
        <v>0</v>
      </c>
      <c r="N403" s="1523"/>
      <c r="O403" s="1524"/>
      <c r="P403" s="1524"/>
      <c r="Q403" s="1525"/>
      <c r="R403" s="6"/>
      <c r="S403" s="6"/>
      <c r="T403" s="6"/>
    </row>
    <row r="404" spans="1:20" ht="16.5" thickBot="1" x14ac:dyDescent="0.3">
      <c r="A404" s="370"/>
      <c r="B404" s="1515" t="s">
        <v>22</v>
      </c>
      <c r="C404" s="1515"/>
      <c r="D404" s="371">
        <f t="shared" ref="D404:I404" si="34">D402+D403</f>
        <v>0</v>
      </c>
      <c r="E404" s="371">
        <f t="shared" si="34"/>
        <v>0</v>
      </c>
      <c r="F404" s="371">
        <f t="shared" si="34"/>
        <v>0</v>
      </c>
      <c r="G404" s="371">
        <f t="shared" si="34"/>
        <v>0</v>
      </c>
      <c r="H404" s="371">
        <f t="shared" si="34"/>
        <v>0</v>
      </c>
      <c r="I404" s="1543">
        <f t="shared" si="34"/>
        <v>0</v>
      </c>
      <c r="J404" s="1516"/>
      <c r="K404" s="161" t="e">
        <f t="shared" si="32"/>
        <v>#DIV/0!</v>
      </c>
      <c r="L404" s="161" t="e">
        <f t="shared" si="33"/>
        <v>#DIV/0!</v>
      </c>
      <c r="M404" s="1517">
        <f>M402+M403</f>
        <v>0</v>
      </c>
      <c r="N404" s="1517"/>
      <c r="O404" s="1518"/>
      <c r="P404" s="1518"/>
      <c r="Q404" s="1519"/>
      <c r="R404" s="6"/>
      <c r="S404" s="6"/>
      <c r="T404" s="6"/>
    </row>
    <row r="405" spans="1:20" ht="15.75" x14ac:dyDescent="0.25">
      <c r="A405" s="480"/>
      <c r="B405" s="481"/>
      <c r="C405" s="481"/>
      <c r="D405" s="482"/>
      <c r="E405" s="482"/>
      <c r="F405" s="482"/>
      <c r="G405" s="482"/>
      <c r="H405" s="482"/>
      <c r="I405" s="483"/>
      <c r="J405" s="484"/>
      <c r="K405" s="485"/>
      <c r="L405" s="485"/>
      <c r="M405" s="486"/>
      <c r="N405" s="486"/>
      <c r="O405" s="487"/>
      <c r="P405" s="487"/>
      <c r="Q405" s="487"/>
      <c r="R405" s="6"/>
      <c r="S405" s="6"/>
      <c r="T405" s="6"/>
    </row>
    <row r="406" spans="1:20" ht="18.75" x14ac:dyDescent="0.3">
      <c r="A406" s="493" t="s">
        <v>748</v>
      </c>
      <c r="B406" s="481"/>
      <c r="C406" s="481"/>
      <c r="D406" s="482"/>
      <c r="E406" s="482"/>
      <c r="F406" s="482"/>
      <c r="G406" s="482"/>
      <c r="H406" s="482"/>
      <c r="I406" s="483"/>
      <c r="J406" s="484"/>
      <c r="K406" s="485"/>
      <c r="L406" s="485"/>
      <c r="M406" s="486"/>
      <c r="N406" s="486"/>
      <c r="O406" s="487"/>
      <c r="P406" s="487"/>
      <c r="Q406" s="487"/>
      <c r="R406" s="6"/>
      <c r="S406" s="6"/>
      <c r="T406" s="6"/>
    </row>
    <row r="407" spans="1:20" ht="15.75" x14ac:dyDescent="0.25">
      <c r="A407" s="488"/>
      <c r="B407" s="224"/>
      <c r="C407" s="1498" t="s">
        <v>212</v>
      </c>
      <c r="D407" s="1498"/>
      <c r="E407" s="1498" t="s">
        <v>213</v>
      </c>
      <c r="F407" s="1498"/>
      <c r="G407" s="1498" t="s">
        <v>282</v>
      </c>
      <c r="H407" s="1498"/>
      <c r="I407" s="483"/>
      <c r="J407" s="484"/>
      <c r="K407" s="485"/>
      <c r="L407" s="485"/>
      <c r="M407" s="486"/>
      <c r="N407" s="486"/>
      <c r="O407" s="487"/>
      <c r="P407" s="487"/>
      <c r="Q407" s="487"/>
      <c r="R407" s="6"/>
      <c r="S407" s="6"/>
      <c r="T407" s="6"/>
    </row>
    <row r="408" spans="1:20" ht="47.25" x14ac:dyDescent="0.25">
      <c r="A408" s="488"/>
      <c r="B408" s="224"/>
      <c r="C408" s="226" t="s">
        <v>751</v>
      </c>
      <c r="D408" s="489" t="s">
        <v>752</v>
      </c>
      <c r="E408" s="226" t="s">
        <v>751</v>
      </c>
      <c r="F408" s="489" t="s">
        <v>752</v>
      </c>
      <c r="G408" s="226" t="s">
        <v>751</v>
      </c>
      <c r="H408" s="489" t="s">
        <v>753</v>
      </c>
      <c r="I408" s="483"/>
      <c r="J408" s="484"/>
      <c r="K408" s="485"/>
      <c r="L408" s="485"/>
      <c r="M408" s="486"/>
      <c r="N408" s="486"/>
      <c r="O408" s="487"/>
      <c r="P408" s="487"/>
      <c r="Q408" s="487"/>
      <c r="R408" s="6"/>
      <c r="S408" s="6"/>
      <c r="T408" s="6"/>
    </row>
    <row r="409" spans="1:20" ht="15.75" x14ac:dyDescent="0.25">
      <c r="A409" s="488"/>
      <c r="B409" s="224" t="s">
        <v>749</v>
      </c>
      <c r="C409" s="490"/>
      <c r="D409" s="491"/>
      <c r="E409" s="491"/>
      <c r="F409" s="491"/>
      <c r="G409" s="491"/>
      <c r="H409" s="491"/>
      <c r="I409" s="483"/>
      <c r="J409" s="484"/>
      <c r="K409" s="485"/>
      <c r="L409" s="485"/>
      <c r="M409" s="486"/>
      <c r="N409" s="486"/>
      <c r="O409" s="487"/>
      <c r="P409" s="487"/>
      <c r="Q409" s="487"/>
      <c r="R409" s="6"/>
      <c r="S409" s="6"/>
      <c r="T409" s="6"/>
    </row>
    <row r="410" spans="1:20" ht="15.75" x14ac:dyDescent="0.25">
      <c r="B410" s="224" t="s">
        <v>750</v>
      </c>
      <c r="C410" s="492"/>
      <c r="D410" s="492"/>
      <c r="E410" s="492"/>
      <c r="F410" s="492"/>
      <c r="G410" s="492"/>
      <c r="H410" s="492"/>
    </row>
    <row r="411" spans="1:20" ht="15.75" x14ac:dyDescent="0.25">
      <c r="B411" s="224" t="s">
        <v>163</v>
      </c>
      <c r="C411" s="225">
        <f t="shared" ref="C411:H411" si="35">SUM(C409:C410)</f>
        <v>0</v>
      </c>
      <c r="D411" s="225">
        <f t="shared" si="35"/>
        <v>0</v>
      </c>
      <c r="E411" s="225">
        <f t="shared" si="35"/>
        <v>0</v>
      </c>
      <c r="F411" s="225">
        <f t="shared" si="35"/>
        <v>0</v>
      </c>
      <c r="G411" s="225">
        <f t="shared" si="35"/>
        <v>0</v>
      </c>
      <c r="H411" s="225">
        <f t="shared" si="35"/>
        <v>0</v>
      </c>
    </row>
    <row r="413" spans="1:20" ht="15.75" thickBot="1" x14ac:dyDescent="0.3">
      <c r="R413" s="6"/>
      <c r="S413" s="6"/>
      <c r="T413" s="6"/>
    </row>
    <row r="414" spans="1:20" ht="33.75" customHeight="1" x14ac:dyDescent="0.25">
      <c r="A414" s="1544" t="s">
        <v>551</v>
      </c>
      <c r="B414" s="1545"/>
      <c r="C414" s="1545"/>
      <c r="D414" s="1545"/>
      <c r="E414" s="1545"/>
      <c r="F414" s="1545"/>
      <c r="G414" s="1545"/>
      <c r="H414" s="1545"/>
      <c r="I414" s="1545"/>
      <c r="J414" s="1125" t="s">
        <v>39</v>
      </c>
      <c r="K414" s="1125"/>
      <c r="L414" s="1101" t="s">
        <v>40</v>
      </c>
      <c r="M414" s="1101"/>
      <c r="N414" s="1101"/>
      <c r="O414" s="1101"/>
      <c r="P414" s="1101"/>
      <c r="Q414" s="1102"/>
      <c r="R414" s="6"/>
      <c r="S414" s="6"/>
      <c r="T414" s="6"/>
    </row>
    <row r="415" spans="1:20" ht="15" customHeight="1" x14ac:dyDescent="0.25">
      <c r="A415" s="253"/>
      <c r="B415" s="10"/>
      <c r="C415" s="10"/>
      <c r="D415" s="10"/>
      <c r="E415" s="10"/>
      <c r="F415" s="10"/>
      <c r="G415" s="10"/>
      <c r="H415" s="10"/>
      <c r="I415" s="10"/>
      <c r="J415" s="1550" t="s">
        <v>218</v>
      </c>
      <c r="K415" s="1550"/>
      <c r="L415" s="1546"/>
      <c r="M415" s="1546"/>
      <c r="N415" s="1546"/>
      <c r="O415" s="1546"/>
      <c r="P415" s="1546"/>
      <c r="Q415" s="1547"/>
      <c r="R415" s="6"/>
      <c r="S415" s="6"/>
      <c r="T415" s="6"/>
    </row>
    <row r="416" spans="1:20" ht="31.5" x14ac:dyDescent="0.25">
      <c r="A416" s="163" t="s">
        <v>219</v>
      </c>
      <c r="B416" s="1539" t="s">
        <v>220</v>
      </c>
      <c r="C416" s="1539"/>
      <c r="D416" s="222" t="s">
        <v>221</v>
      </c>
      <c r="E416" s="222" t="s">
        <v>222</v>
      </c>
      <c r="F416" s="1539" t="s">
        <v>223</v>
      </c>
      <c r="G416" s="1539"/>
      <c r="H416" s="1539" t="s">
        <v>224</v>
      </c>
      <c r="I416" s="1540"/>
      <c r="J416" s="1550"/>
      <c r="K416" s="1550"/>
      <c r="L416" s="1548"/>
      <c r="M416" s="1548"/>
      <c r="N416" s="1548"/>
      <c r="O416" s="1548"/>
      <c r="P416" s="1548"/>
      <c r="Q416" s="1549"/>
      <c r="R416" s="6"/>
      <c r="S416" s="6"/>
      <c r="T416" s="6"/>
    </row>
    <row r="417" spans="1:20" ht="21" x14ac:dyDescent="0.25">
      <c r="A417" s="1541"/>
      <c r="B417" s="1542"/>
      <c r="C417" s="1542"/>
      <c r="D417" s="1542"/>
      <c r="E417" s="1542"/>
      <c r="F417" s="1542"/>
      <c r="G417" s="1542"/>
      <c r="H417" s="1542"/>
      <c r="I417" s="1542"/>
      <c r="J417" s="1542"/>
      <c r="K417" s="1542"/>
      <c r="L417" s="373"/>
      <c r="M417" s="373"/>
      <c r="N417" s="373"/>
      <c r="O417" s="373"/>
      <c r="P417" s="373"/>
      <c r="Q417" s="373"/>
      <c r="R417" s="6"/>
      <c r="S417" s="6"/>
      <c r="T417" s="6"/>
    </row>
    <row r="418" spans="1:20" ht="34.5" customHeight="1" x14ac:dyDescent="0.25">
      <c r="A418" s="455">
        <v>1</v>
      </c>
      <c r="B418" s="1535"/>
      <c r="C418" s="1536"/>
      <c r="D418" s="456"/>
      <c r="E418" s="456"/>
      <c r="F418" s="1537"/>
      <c r="G418" s="1538"/>
      <c r="H418" s="1537"/>
      <c r="I418" s="1538"/>
      <c r="J418" s="1537"/>
      <c r="K418" s="1538"/>
      <c r="L418" s="1532"/>
      <c r="M418" s="1533"/>
      <c r="N418" s="1533"/>
      <c r="O418" s="1533"/>
      <c r="P418" s="1533"/>
      <c r="Q418" s="1534"/>
      <c r="R418" s="6"/>
      <c r="S418" s="6"/>
      <c r="T418" s="6"/>
    </row>
    <row r="419" spans="1:20" ht="34.5" customHeight="1" x14ac:dyDescent="0.25">
      <c r="A419" s="455">
        <v>2</v>
      </c>
      <c r="B419" s="1535"/>
      <c r="C419" s="1536"/>
      <c r="D419" s="456"/>
      <c r="E419" s="456"/>
      <c r="F419" s="1537"/>
      <c r="G419" s="1538"/>
      <c r="H419" s="1537"/>
      <c r="I419" s="1538"/>
      <c r="J419" s="1537"/>
      <c r="K419" s="1538"/>
      <c r="L419" s="1532"/>
      <c r="M419" s="1533"/>
      <c r="N419" s="1533"/>
      <c r="O419" s="1533"/>
      <c r="P419" s="1533"/>
      <c r="Q419" s="1534"/>
      <c r="R419" s="6"/>
      <c r="S419" s="6"/>
      <c r="T419" s="6"/>
    </row>
    <row r="420" spans="1:20" ht="34.5" customHeight="1" x14ac:dyDescent="0.25">
      <c r="A420" s="455">
        <v>3</v>
      </c>
      <c r="B420" s="1535"/>
      <c r="C420" s="1536"/>
      <c r="D420" s="456"/>
      <c r="E420" s="456"/>
      <c r="F420" s="1537"/>
      <c r="G420" s="1538"/>
      <c r="H420" s="1537"/>
      <c r="I420" s="1538"/>
      <c r="J420" s="1537"/>
      <c r="K420" s="1538"/>
      <c r="L420" s="1532"/>
      <c r="M420" s="1533"/>
      <c r="N420" s="1533"/>
      <c r="O420" s="1533"/>
      <c r="P420" s="1533"/>
      <c r="Q420" s="1534"/>
      <c r="R420" s="6"/>
      <c r="S420" s="6"/>
      <c r="T420" s="6"/>
    </row>
    <row r="421" spans="1:20" ht="34.5" customHeight="1" x14ac:dyDescent="0.25">
      <c r="A421" s="455">
        <v>4</v>
      </c>
      <c r="B421" s="1535"/>
      <c r="C421" s="1536"/>
      <c r="D421" s="456"/>
      <c r="E421" s="456"/>
      <c r="F421" s="1537"/>
      <c r="G421" s="1538"/>
      <c r="H421" s="1537"/>
      <c r="I421" s="1538"/>
      <c r="J421" s="1537"/>
      <c r="K421" s="1538"/>
      <c r="L421" s="1532"/>
      <c r="M421" s="1533"/>
      <c r="N421" s="1533"/>
      <c r="O421" s="1533"/>
      <c r="P421" s="1533"/>
      <c r="Q421" s="1534"/>
      <c r="R421" s="6"/>
      <c r="S421" s="6"/>
      <c r="T421" s="6"/>
    </row>
    <row r="422" spans="1:20" ht="34.5" customHeight="1" x14ac:dyDescent="0.25">
      <c r="A422" s="455">
        <v>5</v>
      </c>
      <c r="B422" s="1535"/>
      <c r="C422" s="1536"/>
      <c r="D422" s="456"/>
      <c r="E422" s="456"/>
      <c r="F422" s="1537"/>
      <c r="G422" s="1538"/>
      <c r="H422" s="1537"/>
      <c r="I422" s="1538"/>
      <c r="J422" s="1537"/>
      <c r="K422" s="1538"/>
      <c r="L422" s="1532"/>
      <c r="M422" s="1533"/>
      <c r="N422" s="1533"/>
      <c r="O422" s="1533"/>
      <c r="P422" s="1533"/>
      <c r="Q422" s="1534"/>
      <c r="R422" s="6"/>
      <c r="S422" s="6"/>
      <c r="T422" s="6"/>
    </row>
    <row r="423" spans="1:20" ht="34.5" customHeight="1" x14ac:dyDescent="0.25">
      <c r="A423" s="455">
        <v>6</v>
      </c>
      <c r="B423" s="1535"/>
      <c r="C423" s="1536"/>
      <c r="D423" s="456"/>
      <c r="E423" s="456"/>
      <c r="F423" s="1537"/>
      <c r="G423" s="1538"/>
      <c r="H423" s="1537"/>
      <c r="I423" s="1538"/>
      <c r="J423" s="1537"/>
      <c r="K423" s="1538"/>
      <c r="L423" s="1532"/>
      <c r="M423" s="1533"/>
      <c r="N423" s="1533"/>
      <c r="O423" s="1533"/>
      <c r="P423" s="1533"/>
      <c r="Q423" s="1534"/>
      <c r="R423" s="6"/>
      <c r="S423" s="6"/>
      <c r="T423" s="6"/>
    </row>
    <row r="424" spans="1:20" ht="34.5" customHeight="1" x14ac:dyDescent="0.25">
      <c r="A424" s="455">
        <v>7</v>
      </c>
      <c r="B424" s="1535"/>
      <c r="C424" s="1536"/>
      <c r="D424" s="456"/>
      <c r="E424" s="456"/>
      <c r="F424" s="1537"/>
      <c r="G424" s="1538"/>
      <c r="H424" s="1537"/>
      <c r="I424" s="1538"/>
      <c r="J424" s="1537"/>
      <c r="K424" s="1538"/>
      <c r="L424" s="1532"/>
      <c r="M424" s="1533"/>
      <c r="N424" s="1533"/>
      <c r="O424" s="1533"/>
      <c r="P424" s="1533"/>
      <c r="Q424" s="1534"/>
      <c r="R424" s="6"/>
      <c r="S424" s="6"/>
      <c r="T424" s="6"/>
    </row>
    <row r="425" spans="1:20" ht="34.5" customHeight="1" x14ac:dyDescent="0.25">
      <c r="A425" s="455">
        <v>8</v>
      </c>
      <c r="B425" s="457"/>
      <c r="C425" s="458"/>
      <c r="D425" s="456"/>
      <c r="E425" s="456"/>
      <c r="F425" s="1537"/>
      <c r="G425" s="1538"/>
      <c r="H425" s="1537"/>
      <c r="I425" s="1538"/>
      <c r="J425" s="1537"/>
      <c r="K425" s="1538"/>
      <c r="L425" s="1532"/>
      <c r="M425" s="1533"/>
      <c r="N425" s="1533"/>
      <c r="O425" s="1533"/>
      <c r="P425" s="1533"/>
      <c r="Q425" s="1534"/>
      <c r="R425" s="6"/>
      <c r="S425" s="6"/>
      <c r="T425" s="6"/>
    </row>
    <row r="426" spans="1:20" ht="34.5" customHeight="1" x14ac:dyDescent="0.25">
      <c r="A426" s="455">
        <v>9</v>
      </c>
      <c r="B426" s="1535"/>
      <c r="C426" s="1536"/>
      <c r="D426" s="456"/>
      <c r="E426" s="456"/>
      <c r="F426" s="1537"/>
      <c r="G426" s="1538"/>
      <c r="H426" s="1537"/>
      <c r="I426" s="1538"/>
      <c r="J426" s="1537"/>
      <c r="K426" s="1538"/>
      <c r="L426" s="1532"/>
      <c r="M426" s="1533"/>
      <c r="N426" s="1533"/>
      <c r="O426" s="1533"/>
      <c r="P426" s="1533"/>
      <c r="Q426" s="1534"/>
      <c r="R426" s="6"/>
      <c r="S426" s="6"/>
      <c r="T426" s="6"/>
    </row>
    <row r="427" spans="1:20" ht="34.5" customHeight="1" x14ac:dyDescent="0.25">
      <c r="A427" s="455">
        <v>10</v>
      </c>
      <c r="B427" s="1535"/>
      <c r="C427" s="1536"/>
      <c r="D427" s="456"/>
      <c r="E427" s="456"/>
      <c r="F427" s="1537"/>
      <c r="G427" s="1538"/>
      <c r="H427" s="1537"/>
      <c r="I427" s="1538"/>
      <c r="J427" s="1537"/>
      <c r="K427" s="1538"/>
      <c r="L427" s="1532"/>
      <c r="M427" s="1533"/>
      <c r="N427" s="1533"/>
      <c r="O427" s="1533"/>
      <c r="P427" s="1533"/>
      <c r="Q427" s="1534"/>
      <c r="R427" s="6"/>
      <c r="S427" s="6"/>
      <c r="T427" s="6"/>
    </row>
    <row r="428" spans="1:20" ht="21" x14ac:dyDescent="0.25">
      <c r="A428" s="1541" t="s">
        <v>523</v>
      </c>
      <c r="B428" s="1542"/>
      <c r="C428" s="1542"/>
      <c r="D428" s="1542"/>
      <c r="E428" s="1542"/>
      <c r="F428" s="1542"/>
      <c r="G428" s="1542"/>
      <c r="H428" s="1542"/>
      <c r="I428" s="1542"/>
      <c r="J428" s="1542"/>
      <c r="K428" s="1557"/>
      <c r="L428" s="1558"/>
      <c r="M428" s="1559"/>
      <c r="N428" s="1559"/>
      <c r="O428" s="1559"/>
      <c r="P428" s="1559"/>
      <c r="Q428" s="1560"/>
      <c r="R428" s="6"/>
      <c r="S428" s="6"/>
      <c r="T428" s="6"/>
    </row>
    <row r="429" spans="1:20" x14ac:dyDescent="0.25">
      <c r="A429" s="1553">
        <v>1</v>
      </c>
      <c r="B429" s="1554"/>
      <c r="C429" s="1554"/>
      <c r="D429" s="1555"/>
      <c r="E429" s="1555"/>
      <c r="F429" s="1551"/>
      <c r="G429" s="1551"/>
      <c r="H429" s="1556"/>
      <c r="I429" s="1556"/>
      <c r="J429" s="1551"/>
      <c r="K429" s="1551"/>
      <c r="L429" s="1449"/>
      <c r="M429" s="1449"/>
      <c r="N429" s="1449"/>
      <c r="O429" s="1449"/>
      <c r="P429" s="1449"/>
      <c r="Q429" s="1552"/>
      <c r="R429" s="6"/>
      <c r="S429" s="6"/>
      <c r="T429" s="6"/>
    </row>
    <row r="430" spans="1:20" x14ac:dyDescent="0.25">
      <c r="A430" s="1553"/>
      <c r="B430" s="1554"/>
      <c r="C430" s="1554"/>
      <c r="D430" s="1555"/>
      <c r="E430" s="1555"/>
      <c r="F430" s="1551"/>
      <c r="G430" s="1551"/>
      <c r="H430" s="1556"/>
      <c r="I430" s="1556"/>
      <c r="J430" s="1551"/>
      <c r="K430" s="1551"/>
      <c r="L430" s="1449"/>
      <c r="M430" s="1449"/>
      <c r="N430" s="1449"/>
      <c r="O430" s="1449"/>
      <c r="P430" s="1449"/>
      <c r="Q430" s="1552"/>
      <c r="R430" s="6"/>
      <c r="S430" s="6"/>
      <c r="T430" s="6"/>
    </row>
    <row r="431" spans="1:20" x14ac:dyDescent="0.25">
      <c r="A431" s="1553"/>
      <c r="B431" s="1554"/>
      <c r="C431" s="1554"/>
      <c r="D431" s="1555"/>
      <c r="E431" s="1555"/>
      <c r="F431" s="1551"/>
      <c r="G431" s="1551"/>
      <c r="H431" s="1556"/>
      <c r="I431" s="1556"/>
      <c r="J431" s="1551"/>
      <c r="K431" s="1551"/>
      <c r="L431" s="1449"/>
      <c r="M431" s="1449"/>
      <c r="N431" s="1449"/>
      <c r="O431" s="1449"/>
      <c r="P431" s="1449"/>
      <c r="Q431" s="1552"/>
      <c r="R431" s="6"/>
      <c r="S431" s="6"/>
      <c r="T431" s="6"/>
    </row>
    <row r="432" spans="1:20" x14ac:dyDescent="0.25">
      <c r="A432" s="1553">
        <v>2</v>
      </c>
      <c r="B432" s="1554"/>
      <c r="C432" s="1554"/>
      <c r="D432" s="1555"/>
      <c r="E432" s="1555"/>
      <c r="F432" s="1551"/>
      <c r="G432" s="1551"/>
      <c r="H432" s="1556"/>
      <c r="I432" s="1556"/>
      <c r="J432" s="1551"/>
      <c r="K432" s="1551"/>
      <c r="L432" s="1449"/>
      <c r="M432" s="1449"/>
      <c r="N432" s="1449"/>
      <c r="O432" s="1449"/>
      <c r="P432" s="1449"/>
      <c r="Q432" s="1552"/>
      <c r="R432" s="6"/>
      <c r="S432" s="6"/>
      <c r="T432" s="6"/>
    </row>
    <row r="433" spans="1:20" x14ac:dyDescent="0.25">
      <c r="A433" s="1553"/>
      <c r="B433" s="1554"/>
      <c r="C433" s="1554"/>
      <c r="D433" s="1555"/>
      <c r="E433" s="1555"/>
      <c r="F433" s="1551"/>
      <c r="G433" s="1551"/>
      <c r="H433" s="1556"/>
      <c r="I433" s="1556"/>
      <c r="J433" s="1551"/>
      <c r="K433" s="1551"/>
      <c r="L433" s="1449"/>
      <c r="M433" s="1449"/>
      <c r="N433" s="1449"/>
      <c r="O433" s="1449"/>
      <c r="P433" s="1449"/>
      <c r="Q433" s="1552"/>
      <c r="R433" s="6"/>
      <c r="S433" s="6"/>
      <c r="T433" s="6"/>
    </row>
    <row r="434" spans="1:20" x14ac:dyDescent="0.25">
      <c r="A434" s="1553"/>
      <c r="B434" s="1554"/>
      <c r="C434" s="1554"/>
      <c r="D434" s="1555"/>
      <c r="E434" s="1555"/>
      <c r="F434" s="1551"/>
      <c r="G434" s="1551"/>
      <c r="H434" s="1556"/>
      <c r="I434" s="1556"/>
      <c r="J434" s="1551"/>
      <c r="K434" s="1551"/>
      <c r="L434" s="1449"/>
      <c r="M434" s="1449"/>
      <c r="N434" s="1449"/>
      <c r="O434" s="1449"/>
      <c r="P434" s="1449"/>
      <c r="Q434" s="1552"/>
      <c r="R434" s="6"/>
      <c r="S434" s="6"/>
      <c r="T434" s="6"/>
    </row>
    <row r="435" spans="1:20" x14ac:dyDescent="0.25">
      <c r="A435" s="1553">
        <v>3</v>
      </c>
      <c r="B435" s="1554"/>
      <c r="C435" s="1554"/>
      <c r="D435" s="1555"/>
      <c r="E435" s="1555"/>
      <c r="F435" s="1551"/>
      <c r="G435" s="1551"/>
      <c r="H435" s="1556"/>
      <c r="I435" s="1556"/>
      <c r="J435" s="1551"/>
      <c r="K435" s="1551"/>
      <c r="L435" s="1449"/>
      <c r="M435" s="1449"/>
      <c r="N435" s="1449"/>
      <c r="O435" s="1449"/>
      <c r="P435" s="1449"/>
      <c r="Q435" s="1552"/>
      <c r="R435" s="6"/>
      <c r="S435" s="6"/>
      <c r="T435" s="6"/>
    </row>
    <row r="436" spans="1:20" x14ac:dyDescent="0.25">
      <c r="A436" s="1553"/>
      <c r="B436" s="1554"/>
      <c r="C436" s="1554"/>
      <c r="D436" s="1555"/>
      <c r="E436" s="1555"/>
      <c r="F436" s="1551"/>
      <c r="G436" s="1551"/>
      <c r="H436" s="1556"/>
      <c r="I436" s="1556"/>
      <c r="J436" s="1551"/>
      <c r="K436" s="1551"/>
      <c r="L436" s="1449"/>
      <c r="M436" s="1449"/>
      <c r="N436" s="1449"/>
      <c r="O436" s="1449"/>
      <c r="P436" s="1449"/>
      <c r="Q436" s="1552"/>
      <c r="R436" s="6"/>
      <c r="S436" s="6"/>
      <c r="T436" s="6"/>
    </row>
    <row r="437" spans="1:20" x14ac:dyDescent="0.25">
      <c r="A437" s="1553"/>
      <c r="B437" s="1554"/>
      <c r="C437" s="1554"/>
      <c r="D437" s="1555"/>
      <c r="E437" s="1555"/>
      <c r="F437" s="1551"/>
      <c r="G437" s="1551"/>
      <c r="H437" s="1556"/>
      <c r="I437" s="1556"/>
      <c r="J437" s="1551"/>
      <c r="K437" s="1551"/>
      <c r="L437" s="1449"/>
      <c r="M437" s="1449"/>
      <c r="N437" s="1449"/>
      <c r="O437" s="1449"/>
      <c r="P437" s="1449"/>
      <c r="Q437" s="1552"/>
      <c r="R437" s="6"/>
      <c r="S437" s="6"/>
      <c r="T437" s="6"/>
    </row>
    <row r="438" spans="1:20" x14ac:dyDescent="0.25">
      <c r="A438" s="1553">
        <v>4</v>
      </c>
      <c r="B438" s="1561"/>
      <c r="C438" s="1562"/>
      <c r="D438" s="1555"/>
      <c r="E438" s="1555"/>
      <c r="F438" s="1551"/>
      <c r="G438" s="1551"/>
      <c r="H438" s="1556"/>
      <c r="I438" s="1556"/>
      <c r="J438" s="1551"/>
      <c r="K438" s="1551"/>
      <c r="L438" s="1449"/>
      <c r="M438" s="1449"/>
      <c r="N438" s="1449"/>
      <c r="O438" s="1449"/>
      <c r="P438" s="1449"/>
      <c r="Q438" s="1552"/>
      <c r="R438" s="6"/>
      <c r="S438" s="6"/>
      <c r="T438" s="6"/>
    </row>
    <row r="439" spans="1:20" x14ac:dyDescent="0.25">
      <c r="A439" s="1553"/>
      <c r="B439" s="1563"/>
      <c r="C439" s="1564"/>
      <c r="D439" s="1555"/>
      <c r="E439" s="1555"/>
      <c r="F439" s="1551"/>
      <c r="G439" s="1551"/>
      <c r="H439" s="1556"/>
      <c r="I439" s="1556"/>
      <c r="J439" s="1551"/>
      <c r="K439" s="1551"/>
      <c r="L439" s="1449"/>
      <c r="M439" s="1449"/>
      <c r="N439" s="1449"/>
      <c r="O439" s="1449"/>
      <c r="P439" s="1449"/>
      <c r="Q439" s="1552"/>
      <c r="R439" s="6"/>
      <c r="S439" s="6"/>
      <c r="T439" s="6"/>
    </row>
    <row r="440" spans="1:20" x14ac:dyDescent="0.25">
      <c r="A440" s="1553"/>
      <c r="B440" s="1565"/>
      <c r="C440" s="1566"/>
      <c r="D440" s="1555"/>
      <c r="E440" s="1555"/>
      <c r="F440" s="1551"/>
      <c r="G440" s="1551"/>
      <c r="H440" s="1556"/>
      <c r="I440" s="1556"/>
      <c r="J440" s="1551"/>
      <c r="K440" s="1551"/>
      <c r="L440" s="1449"/>
      <c r="M440" s="1449"/>
      <c r="N440" s="1449"/>
      <c r="O440" s="1449"/>
      <c r="P440" s="1449"/>
      <c r="Q440" s="1552"/>
      <c r="R440" s="6"/>
      <c r="S440" s="6"/>
      <c r="T440" s="6"/>
    </row>
    <row r="441" spans="1:20" x14ac:dyDescent="0.25">
      <c r="A441" s="1553">
        <v>5</v>
      </c>
      <c r="B441" s="1556"/>
      <c r="C441" s="1556"/>
      <c r="D441" s="1555"/>
      <c r="E441" s="1555"/>
      <c r="F441" s="1551"/>
      <c r="G441" s="1551"/>
      <c r="H441" s="1556"/>
      <c r="I441" s="1556"/>
      <c r="J441" s="1551"/>
      <c r="K441" s="1551"/>
      <c r="L441" s="1449"/>
      <c r="M441" s="1449"/>
      <c r="N441" s="1449"/>
      <c r="O441" s="1449"/>
      <c r="P441" s="1449"/>
      <c r="Q441" s="1552"/>
      <c r="R441" s="6"/>
      <c r="S441" s="6"/>
      <c r="T441" s="6"/>
    </row>
    <row r="442" spans="1:20" x14ac:dyDescent="0.25">
      <c r="A442" s="1553"/>
      <c r="B442" s="1556"/>
      <c r="C442" s="1556"/>
      <c r="D442" s="1555"/>
      <c r="E442" s="1555"/>
      <c r="F442" s="1551"/>
      <c r="G442" s="1551"/>
      <c r="H442" s="1556"/>
      <c r="I442" s="1556"/>
      <c r="J442" s="1551"/>
      <c r="K442" s="1551"/>
      <c r="L442" s="1449"/>
      <c r="M442" s="1449"/>
      <c r="N442" s="1449"/>
      <c r="O442" s="1449"/>
      <c r="P442" s="1449"/>
      <c r="Q442" s="1552"/>
      <c r="R442" s="6"/>
      <c r="S442" s="6"/>
      <c r="T442" s="6"/>
    </row>
    <row r="443" spans="1:20" x14ac:dyDescent="0.25">
      <c r="A443" s="1553"/>
      <c r="B443" s="1556"/>
      <c r="C443" s="1556"/>
      <c r="D443" s="1555"/>
      <c r="E443" s="1555"/>
      <c r="F443" s="1551"/>
      <c r="G443" s="1551"/>
      <c r="H443" s="1556"/>
      <c r="I443" s="1556"/>
      <c r="J443" s="1551"/>
      <c r="K443" s="1551"/>
      <c r="L443" s="1449"/>
      <c r="M443" s="1449"/>
      <c r="N443" s="1449"/>
      <c r="O443" s="1449"/>
      <c r="P443" s="1449"/>
      <c r="Q443" s="1552"/>
      <c r="R443" s="6"/>
      <c r="S443" s="6"/>
      <c r="T443" s="6"/>
    </row>
    <row r="444" spans="1:20" x14ac:dyDescent="0.25">
      <c r="A444" s="1553">
        <v>6</v>
      </c>
      <c r="B444" s="1556"/>
      <c r="C444" s="1556"/>
      <c r="D444" s="1555"/>
      <c r="E444" s="1555"/>
      <c r="F444" s="1551"/>
      <c r="G444" s="1551"/>
      <c r="H444" s="1556"/>
      <c r="I444" s="1556"/>
      <c r="J444" s="1551"/>
      <c r="K444" s="1551"/>
      <c r="L444" s="1449"/>
      <c r="M444" s="1449"/>
      <c r="N444" s="1449"/>
      <c r="O444" s="1449"/>
      <c r="P444" s="1449"/>
      <c r="Q444" s="1552"/>
      <c r="R444" s="6"/>
      <c r="S444" s="6"/>
      <c r="T444" s="6"/>
    </row>
    <row r="445" spans="1:20" x14ac:dyDescent="0.25">
      <c r="A445" s="1553"/>
      <c r="B445" s="1556"/>
      <c r="C445" s="1556"/>
      <c r="D445" s="1555"/>
      <c r="E445" s="1555"/>
      <c r="F445" s="1551"/>
      <c r="G445" s="1551"/>
      <c r="H445" s="1556"/>
      <c r="I445" s="1556"/>
      <c r="J445" s="1551"/>
      <c r="K445" s="1551"/>
      <c r="L445" s="1449"/>
      <c r="M445" s="1449"/>
      <c r="N445" s="1449"/>
      <c r="O445" s="1449"/>
      <c r="P445" s="1449"/>
      <c r="Q445" s="1552"/>
      <c r="R445" s="6"/>
      <c r="S445" s="6"/>
      <c r="T445" s="6"/>
    </row>
    <row r="446" spans="1:20" x14ac:dyDescent="0.25">
      <c r="A446" s="1553"/>
      <c r="B446" s="1556"/>
      <c r="C446" s="1556"/>
      <c r="D446" s="1555"/>
      <c r="E446" s="1555"/>
      <c r="F446" s="1551"/>
      <c r="G446" s="1551"/>
      <c r="H446" s="1556"/>
      <c r="I446" s="1556"/>
      <c r="J446" s="1551"/>
      <c r="K446" s="1551"/>
      <c r="L446" s="1449"/>
      <c r="M446" s="1449"/>
      <c r="N446" s="1449"/>
      <c r="O446" s="1449"/>
      <c r="P446" s="1449"/>
      <c r="Q446" s="1552"/>
      <c r="R446" s="6"/>
      <c r="S446" s="6"/>
      <c r="T446" s="6"/>
    </row>
    <row r="447" spans="1:20" x14ac:dyDescent="0.25">
      <c r="A447" s="1553">
        <v>7</v>
      </c>
      <c r="B447" s="1556"/>
      <c r="C447" s="1556"/>
      <c r="D447" s="1555"/>
      <c r="E447" s="1555"/>
      <c r="F447" s="1551"/>
      <c r="G447" s="1551"/>
      <c r="H447" s="1556"/>
      <c r="I447" s="1556"/>
      <c r="J447" s="1551"/>
      <c r="K447" s="1551"/>
      <c r="L447" s="1449"/>
      <c r="M447" s="1449"/>
      <c r="N447" s="1449"/>
      <c r="O447" s="1449"/>
      <c r="P447" s="1449"/>
      <c r="Q447" s="1552"/>
      <c r="R447" s="6"/>
      <c r="S447" s="6"/>
      <c r="T447" s="6"/>
    </row>
    <row r="448" spans="1:20" x14ac:dyDescent="0.25">
      <c r="A448" s="1553"/>
      <c r="B448" s="1556"/>
      <c r="C448" s="1556"/>
      <c r="D448" s="1555"/>
      <c r="E448" s="1555"/>
      <c r="F448" s="1551"/>
      <c r="G448" s="1551"/>
      <c r="H448" s="1556"/>
      <c r="I448" s="1556"/>
      <c r="J448" s="1551"/>
      <c r="K448" s="1551"/>
      <c r="L448" s="1449"/>
      <c r="M448" s="1449"/>
      <c r="N448" s="1449"/>
      <c r="O448" s="1449"/>
      <c r="P448" s="1449"/>
      <c r="Q448" s="1552"/>
      <c r="R448" s="6"/>
      <c r="S448" s="6"/>
      <c r="T448" s="6"/>
    </row>
    <row r="449" spans="1:20" x14ac:dyDescent="0.25">
      <c r="A449" s="1553"/>
      <c r="B449" s="1556"/>
      <c r="C449" s="1556"/>
      <c r="D449" s="1555"/>
      <c r="E449" s="1555"/>
      <c r="F449" s="1551"/>
      <c r="G449" s="1551"/>
      <c r="H449" s="1556"/>
      <c r="I449" s="1556"/>
      <c r="J449" s="1551"/>
      <c r="K449" s="1551"/>
      <c r="L449" s="1449"/>
      <c r="M449" s="1449"/>
      <c r="N449" s="1449"/>
      <c r="O449" s="1449"/>
      <c r="P449" s="1449"/>
      <c r="Q449" s="1552"/>
      <c r="R449" s="6"/>
      <c r="S449" s="6"/>
      <c r="T449" s="6"/>
    </row>
    <row r="450" spans="1:20" x14ac:dyDescent="0.25">
      <c r="A450" s="1553">
        <v>8</v>
      </c>
      <c r="B450" s="1556"/>
      <c r="C450" s="1556"/>
      <c r="D450" s="1555"/>
      <c r="E450" s="1555"/>
      <c r="F450" s="1551"/>
      <c r="G450" s="1551"/>
      <c r="H450" s="1556"/>
      <c r="I450" s="1556"/>
      <c r="J450" s="1551"/>
      <c r="K450" s="1551"/>
      <c r="L450" s="1449"/>
      <c r="M450" s="1449"/>
      <c r="N450" s="1449"/>
      <c r="O450" s="1449"/>
      <c r="P450" s="1449"/>
      <c r="Q450" s="1552"/>
      <c r="R450" s="6"/>
      <c r="S450" s="6"/>
      <c r="T450" s="6"/>
    </row>
    <row r="451" spans="1:20" x14ac:dyDescent="0.25">
      <c r="A451" s="1553"/>
      <c r="B451" s="1556"/>
      <c r="C451" s="1556"/>
      <c r="D451" s="1555"/>
      <c r="E451" s="1555"/>
      <c r="F451" s="1551"/>
      <c r="G451" s="1551"/>
      <c r="H451" s="1556"/>
      <c r="I451" s="1556"/>
      <c r="J451" s="1551"/>
      <c r="K451" s="1551"/>
      <c r="L451" s="1449"/>
      <c r="M451" s="1449"/>
      <c r="N451" s="1449"/>
      <c r="O451" s="1449"/>
      <c r="P451" s="1449"/>
      <c r="Q451" s="1552"/>
      <c r="R451" s="6"/>
      <c r="S451" s="6"/>
      <c r="T451" s="6"/>
    </row>
    <row r="452" spans="1:20" x14ac:dyDescent="0.25">
      <c r="A452" s="1553"/>
      <c r="B452" s="1556"/>
      <c r="C452" s="1556"/>
      <c r="D452" s="1555"/>
      <c r="E452" s="1555"/>
      <c r="F452" s="1551"/>
      <c r="G452" s="1551"/>
      <c r="H452" s="1556"/>
      <c r="I452" s="1556"/>
      <c r="J452" s="1551"/>
      <c r="K452" s="1551"/>
      <c r="L452" s="1449"/>
      <c r="M452" s="1449"/>
      <c r="N452" s="1449"/>
      <c r="O452" s="1449"/>
      <c r="P452" s="1449"/>
      <c r="Q452" s="1552"/>
      <c r="R452" s="6"/>
      <c r="S452" s="6"/>
      <c r="T452" s="6"/>
    </row>
    <row r="453" spans="1:20" x14ac:dyDescent="0.25">
      <c r="A453" s="1553">
        <v>9</v>
      </c>
      <c r="B453" s="1556"/>
      <c r="C453" s="1556"/>
      <c r="D453" s="1555"/>
      <c r="E453" s="1555"/>
      <c r="F453" s="1551"/>
      <c r="G453" s="1551"/>
      <c r="H453" s="1556"/>
      <c r="I453" s="1556"/>
      <c r="J453" s="1551"/>
      <c r="K453" s="1551"/>
      <c r="L453" s="1449"/>
      <c r="M453" s="1449"/>
      <c r="N453" s="1449"/>
      <c r="O453" s="1449"/>
      <c r="P453" s="1449"/>
      <c r="Q453" s="1552"/>
      <c r="R453" s="6"/>
      <c r="S453" s="6"/>
      <c r="T453" s="6"/>
    </row>
    <row r="454" spans="1:20" x14ac:dyDescent="0.25">
      <c r="A454" s="1553"/>
      <c r="B454" s="1556"/>
      <c r="C454" s="1556"/>
      <c r="D454" s="1555"/>
      <c r="E454" s="1555"/>
      <c r="F454" s="1551"/>
      <c r="G454" s="1551"/>
      <c r="H454" s="1556"/>
      <c r="I454" s="1556"/>
      <c r="J454" s="1551"/>
      <c r="K454" s="1551"/>
      <c r="L454" s="1449"/>
      <c r="M454" s="1449"/>
      <c r="N454" s="1449"/>
      <c r="O454" s="1449"/>
      <c r="P454" s="1449"/>
      <c r="Q454" s="1552"/>
      <c r="R454" s="6"/>
      <c r="S454" s="6"/>
      <c r="T454" s="6"/>
    </row>
    <row r="455" spans="1:20" x14ac:dyDescent="0.25">
      <c r="A455" s="1553"/>
      <c r="B455" s="1556"/>
      <c r="C455" s="1556"/>
      <c r="D455" s="1555"/>
      <c r="E455" s="1555"/>
      <c r="F455" s="1551"/>
      <c r="G455" s="1551"/>
      <c r="H455" s="1556"/>
      <c r="I455" s="1556"/>
      <c r="J455" s="1551"/>
      <c r="K455" s="1551"/>
      <c r="L455" s="1449"/>
      <c r="M455" s="1449"/>
      <c r="N455" s="1449"/>
      <c r="O455" s="1449"/>
      <c r="P455" s="1449"/>
      <c r="Q455" s="1552"/>
      <c r="R455" s="6"/>
      <c r="S455" s="6"/>
      <c r="T455" s="6"/>
    </row>
    <row r="456" spans="1:20" x14ac:dyDescent="0.25">
      <c r="A456" s="1553">
        <v>10</v>
      </c>
      <c r="B456" s="1556"/>
      <c r="C456" s="1556"/>
      <c r="D456" s="1555"/>
      <c r="E456" s="1555"/>
      <c r="F456" s="1551"/>
      <c r="G456" s="1551"/>
      <c r="H456" s="1556"/>
      <c r="I456" s="1556"/>
      <c r="J456" s="1551"/>
      <c r="K456" s="1551"/>
      <c r="L456" s="1449"/>
      <c r="M456" s="1449"/>
      <c r="N456" s="1449"/>
      <c r="O456" s="1449"/>
      <c r="P456" s="1449"/>
      <c r="Q456" s="1552"/>
      <c r="R456" s="6"/>
      <c r="S456" s="6"/>
      <c r="T456" s="6"/>
    </row>
    <row r="457" spans="1:20" x14ac:dyDescent="0.25">
      <c r="A457" s="1553"/>
      <c r="B457" s="1556"/>
      <c r="C457" s="1556"/>
      <c r="D457" s="1555"/>
      <c r="E457" s="1555"/>
      <c r="F457" s="1551"/>
      <c r="G457" s="1551"/>
      <c r="H457" s="1556"/>
      <c r="I457" s="1556"/>
      <c r="J457" s="1551"/>
      <c r="K457" s="1551"/>
      <c r="L457" s="1449"/>
      <c r="M457" s="1449"/>
      <c r="N457" s="1449"/>
      <c r="O457" s="1449"/>
      <c r="P457" s="1449"/>
      <c r="Q457" s="1552"/>
      <c r="R457" s="6"/>
      <c r="S457" s="6"/>
      <c r="T457" s="6"/>
    </row>
    <row r="458" spans="1:20" x14ac:dyDescent="0.25">
      <c r="A458" s="1553"/>
      <c r="B458" s="1556"/>
      <c r="C458" s="1556"/>
      <c r="D458" s="1555"/>
      <c r="E458" s="1555"/>
      <c r="F458" s="1551"/>
      <c r="G458" s="1551"/>
      <c r="H458" s="1556"/>
      <c r="I458" s="1556"/>
      <c r="J458" s="1551"/>
      <c r="K458" s="1551"/>
      <c r="L458" s="1449"/>
      <c r="M458" s="1449"/>
      <c r="N458" s="1449"/>
      <c r="O458" s="1449"/>
      <c r="P458" s="1449"/>
      <c r="Q458" s="1552"/>
      <c r="R458" s="6"/>
      <c r="S458" s="6"/>
      <c r="T458" s="6"/>
    </row>
    <row r="459" spans="1:20" x14ac:dyDescent="0.25">
      <c r="A459" s="1567" t="s">
        <v>2</v>
      </c>
      <c r="B459" s="1568"/>
      <c r="C459" s="1568"/>
      <c r="D459" s="1568"/>
      <c r="E459" s="1569"/>
      <c r="F459" s="1576">
        <f>SUM(F429:G458,F418:G427)</f>
        <v>0</v>
      </c>
      <c r="G459" s="1576"/>
      <c r="H459" s="1578"/>
      <c r="I459" s="1578"/>
      <c r="J459" s="1576">
        <f>SUM(J429:K458,J418:K427)</f>
        <v>0</v>
      </c>
      <c r="K459" s="1576"/>
      <c r="L459" s="1580"/>
      <c r="M459" s="1580"/>
      <c r="N459" s="1580"/>
      <c r="O459" s="1580"/>
      <c r="P459" s="1580"/>
      <c r="Q459" s="1581"/>
      <c r="R459" s="6"/>
      <c r="S459" s="6"/>
      <c r="T459" s="6"/>
    </row>
    <row r="460" spans="1:20" x14ac:dyDescent="0.25">
      <c r="A460" s="1570"/>
      <c r="B460" s="1571"/>
      <c r="C460" s="1571"/>
      <c r="D460" s="1571"/>
      <c r="E460" s="1572"/>
      <c r="F460" s="1576"/>
      <c r="G460" s="1576"/>
      <c r="H460" s="1578"/>
      <c r="I460" s="1578"/>
      <c r="J460" s="1576"/>
      <c r="K460" s="1576"/>
      <c r="L460" s="1580"/>
      <c r="M460" s="1580"/>
      <c r="N460" s="1580"/>
      <c r="O460" s="1580"/>
      <c r="P460" s="1580"/>
      <c r="Q460" s="1581"/>
      <c r="R460" s="6"/>
      <c r="S460" s="6"/>
      <c r="T460" s="6"/>
    </row>
    <row r="461" spans="1:20" ht="15.75" thickBot="1" x14ac:dyDescent="0.3">
      <c r="A461" s="1573"/>
      <c r="B461" s="1574"/>
      <c r="C461" s="1574"/>
      <c r="D461" s="1574"/>
      <c r="E461" s="1575"/>
      <c r="F461" s="1577"/>
      <c r="G461" s="1577"/>
      <c r="H461" s="1579"/>
      <c r="I461" s="1579"/>
      <c r="J461" s="1577"/>
      <c r="K461" s="1577"/>
      <c r="L461" s="1582"/>
      <c r="M461" s="1582"/>
      <c r="N461" s="1582"/>
      <c r="O461" s="1582"/>
      <c r="P461" s="1582"/>
      <c r="Q461" s="1583"/>
      <c r="R461" s="6"/>
      <c r="S461" s="6"/>
      <c r="T461" s="6"/>
    </row>
  </sheetData>
  <protectedRanges>
    <protectedRange sqref="N286:Q286" name="Printing"/>
  </protectedRanges>
  <mergeCells count="1427">
    <mergeCell ref="B287:C287"/>
    <mergeCell ref="B288:C288"/>
    <mergeCell ref="B289:C289"/>
    <mergeCell ref="B290:C290"/>
    <mergeCell ref="B291:C291"/>
    <mergeCell ref="B292:C292"/>
    <mergeCell ref="D291:E291"/>
    <mergeCell ref="F291:G291"/>
    <mergeCell ref="H291:I291"/>
    <mergeCell ref="J291:K291"/>
    <mergeCell ref="D292:E292"/>
    <mergeCell ref="F292:G292"/>
    <mergeCell ref="H292:I292"/>
    <mergeCell ref="J292:K292"/>
    <mergeCell ref="D289:E289"/>
    <mergeCell ref="F289:G289"/>
    <mergeCell ref="H289:I289"/>
    <mergeCell ref="J289:K289"/>
    <mergeCell ref="D290:E290"/>
    <mergeCell ref="F290:G290"/>
    <mergeCell ref="H290:I290"/>
    <mergeCell ref="J290:K290"/>
    <mergeCell ref="F287:G287"/>
    <mergeCell ref="H287:I287"/>
    <mergeCell ref="J287:K287"/>
    <mergeCell ref="D288:E288"/>
    <mergeCell ref="F288:G288"/>
    <mergeCell ref="H288:I288"/>
    <mergeCell ref="J288:K288"/>
    <mergeCell ref="A285:I285"/>
    <mergeCell ref="J285:M285"/>
    <mergeCell ref="N285:Q285"/>
    <mergeCell ref="A286:C286"/>
    <mergeCell ref="D286:E286"/>
    <mergeCell ref="F286:G286"/>
    <mergeCell ref="H286:I286"/>
    <mergeCell ref="J286:K286"/>
    <mergeCell ref="N286:Q292"/>
    <mergeCell ref="D287:E287"/>
    <mergeCell ref="D204:E204"/>
    <mergeCell ref="H204:I204"/>
    <mergeCell ref="J204:K204"/>
    <mergeCell ref="A205:B205"/>
    <mergeCell ref="D205:E205"/>
    <mergeCell ref="H205:I205"/>
    <mergeCell ref="J205:K205"/>
    <mergeCell ref="A235:B235"/>
    <mergeCell ref="D235:E235"/>
    <mergeCell ref="H235:I235"/>
    <mergeCell ref="J235:K235"/>
    <mergeCell ref="A236:B236"/>
    <mergeCell ref="D236:E236"/>
    <mergeCell ref="H236:I236"/>
    <mergeCell ref="J236:K236"/>
    <mergeCell ref="H281:I281"/>
    <mergeCell ref="A282:G282"/>
    <mergeCell ref="H282:I282"/>
    <mergeCell ref="J277:K278"/>
    <mergeCell ref="L277:M278"/>
    <mergeCell ref="A278:G278"/>
    <mergeCell ref="H278:I278"/>
    <mergeCell ref="J456:K458"/>
    <mergeCell ref="L456:Q458"/>
    <mergeCell ref="A459:E461"/>
    <mergeCell ref="F459:G461"/>
    <mergeCell ref="H459:I461"/>
    <mergeCell ref="J459:K461"/>
    <mergeCell ref="L459:Q461"/>
    <mergeCell ref="A456:A458"/>
    <mergeCell ref="B456:C458"/>
    <mergeCell ref="D456:D458"/>
    <mergeCell ref="E456:E458"/>
    <mergeCell ref="F456:G458"/>
    <mergeCell ref="H456:I458"/>
    <mergeCell ref="J450:K452"/>
    <mergeCell ref="L450:Q452"/>
    <mergeCell ref="A453:A455"/>
    <mergeCell ref="B453:C455"/>
    <mergeCell ref="D453:D455"/>
    <mergeCell ref="E453:E455"/>
    <mergeCell ref="F453:G455"/>
    <mergeCell ref="H453:I455"/>
    <mergeCell ref="J453:K455"/>
    <mergeCell ref="L453:Q455"/>
    <mergeCell ref="A450:A452"/>
    <mergeCell ref="B450:C452"/>
    <mergeCell ref="D450:D452"/>
    <mergeCell ref="E450:E452"/>
    <mergeCell ref="F450:G452"/>
    <mergeCell ref="H450:I452"/>
    <mergeCell ref="J444:K446"/>
    <mergeCell ref="L444:Q446"/>
    <mergeCell ref="A447:A449"/>
    <mergeCell ref="B447:C449"/>
    <mergeCell ref="D447:D449"/>
    <mergeCell ref="E447:E449"/>
    <mergeCell ref="F447:G449"/>
    <mergeCell ref="H447:I449"/>
    <mergeCell ref="J447:K449"/>
    <mergeCell ref="L447:Q449"/>
    <mergeCell ref="A444:A446"/>
    <mergeCell ref="B444:C446"/>
    <mergeCell ref="D444:D446"/>
    <mergeCell ref="E444:E446"/>
    <mergeCell ref="F444:G446"/>
    <mergeCell ref="H444:I446"/>
    <mergeCell ref="J438:K440"/>
    <mergeCell ref="L438:Q440"/>
    <mergeCell ref="A441:A443"/>
    <mergeCell ref="B441:C443"/>
    <mergeCell ref="D441:D443"/>
    <mergeCell ref="E441:E443"/>
    <mergeCell ref="F441:G443"/>
    <mergeCell ref="H441:I443"/>
    <mergeCell ref="J441:K443"/>
    <mergeCell ref="L441:Q443"/>
    <mergeCell ref="A438:A440"/>
    <mergeCell ref="B438:C440"/>
    <mergeCell ref="D438:D440"/>
    <mergeCell ref="E438:E440"/>
    <mergeCell ref="F438:G440"/>
    <mergeCell ref="H438:I440"/>
    <mergeCell ref="J432:K434"/>
    <mergeCell ref="L432:Q434"/>
    <mergeCell ref="A435:A437"/>
    <mergeCell ref="B435:C437"/>
    <mergeCell ref="D435:D437"/>
    <mergeCell ref="E435:E437"/>
    <mergeCell ref="F435:G437"/>
    <mergeCell ref="H435:I437"/>
    <mergeCell ref="J435:K437"/>
    <mergeCell ref="L435:Q437"/>
    <mergeCell ref="A432:A434"/>
    <mergeCell ref="B432:C434"/>
    <mergeCell ref="D432:D434"/>
    <mergeCell ref="E432:E434"/>
    <mergeCell ref="F432:G434"/>
    <mergeCell ref="H432:I434"/>
    <mergeCell ref="A428:K428"/>
    <mergeCell ref="L428:Q428"/>
    <mergeCell ref="A429:A431"/>
    <mergeCell ref="B429:C431"/>
    <mergeCell ref="D429:D431"/>
    <mergeCell ref="E429:E431"/>
    <mergeCell ref="F429:G431"/>
    <mergeCell ref="H429:I431"/>
    <mergeCell ref="J429:K431"/>
    <mergeCell ref="L429:Q431"/>
    <mergeCell ref="B426:C426"/>
    <mergeCell ref="F426:G426"/>
    <mergeCell ref="H426:I426"/>
    <mergeCell ref="J426:K426"/>
    <mergeCell ref="L426:Q426"/>
    <mergeCell ref="B427:C427"/>
    <mergeCell ref="F427:G427"/>
    <mergeCell ref="H427:I427"/>
    <mergeCell ref="J427:K427"/>
    <mergeCell ref="L427:Q427"/>
    <mergeCell ref="B424:C424"/>
    <mergeCell ref="F424:G424"/>
    <mergeCell ref="H424:I424"/>
    <mergeCell ref="J424:K424"/>
    <mergeCell ref="L424:Q424"/>
    <mergeCell ref="F425:G425"/>
    <mergeCell ref="H425:I425"/>
    <mergeCell ref="J425:K425"/>
    <mergeCell ref="L425:Q425"/>
    <mergeCell ref="B422:C422"/>
    <mergeCell ref="F422:G422"/>
    <mergeCell ref="H422:I422"/>
    <mergeCell ref="J422:K422"/>
    <mergeCell ref="L422:Q422"/>
    <mergeCell ref="B423:C423"/>
    <mergeCell ref="F423:G423"/>
    <mergeCell ref="H423:I423"/>
    <mergeCell ref="J423:K423"/>
    <mergeCell ref="L423:Q423"/>
    <mergeCell ref="B420:C420"/>
    <mergeCell ref="F420:G420"/>
    <mergeCell ref="H420:I420"/>
    <mergeCell ref="J420:K420"/>
    <mergeCell ref="L420:Q420"/>
    <mergeCell ref="B421:C421"/>
    <mergeCell ref="F421:G421"/>
    <mergeCell ref="H421:I421"/>
    <mergeCell ref="J421:K421"/>
    <mergeCell ref="L421:Q421"/>
    <mergeCell ref="L418:Q418"/>
    <mergeCell ref="B419:C419"/>
    <mergeCell ref="F419:G419"/>
    <mergeCell ref="H419:I419"/>
    <mergeCell ref="J419:K419"/>
    <mergeCell ref="L419:Q419"/>
    <mergeCell ref="H416:I416"/>
    <mergeCell ref="A417:K417"/>
    <mergeCell ref="B418:C418"/>
    <mergeCell ref="F418:G418"/>
    <mergeCell ref="H418:I418"/>
    <mergeCell ref="J418:K418"/>
    <mergeCell ref="B404:C404"/>
    <mergeCell ref="I404:J404"/>
    <mergeCell ref="M404:N404"/>
    <mergeCell ref="O404:Q404"/>
    <mergeCell ref="A414:I414"/>
    <mergeCell ref="J414:K414"/>
    <mergeCell ref="L414:Q416"/>
    <mergeCell ref="J415:K416"/>
    <mergeCell ref="B416:C416"/>
    <mergeCell ref="F416:G416"/>
    <mergeCell ref="B402:C402"/>
    <mergeCell ref="I402:J402"/>
    <mergeCell ref="M402:N402"/>
    <mergeCell ref="O402:Q402"/>
    <mergeCell ref="B403:C403"/>
    <mergeCell ref="I403:J403"/>
    <mergeCell ref="M403:N403"/>
    <mergeCell ref="O403:Q403"/>
    <mergeCell ref="C407:D407"/>
    <mergeCell ref="E407:F407"/>
    <mergeCell ref="G407:H407"/>
    <mergeCell ref="B400:C400"/>
    <mergeCell ref="I400:J400"/>
    <mergeCell ref="M400:N400"/>
    <mergeCell ref="O400:Q400"/>
    <mergeCell ref="B401:C401"/>
    <mergeCell ref="I401:J401"/>
    <mergeCell ref="M401:N401"/>
    <mergeCell ref="O401:Q401"/>
    <mergeCell ref="B398:C398"/>
    <mergeCell ref="I398:J398"/>
    <mergeCell ref="M398:N398"/>
    <mergeCell ref="O398:Q398"/>
    <mergeCell ref="B399:C399"/>
    <mergeCell ref="I399:J399"/>
    <mergeCell ref="M399:N399"/>
    <mergeCell ref="O399:Q399"/>
    <mergeCell ref="B396:C396"/>
    <mergeCell ref="I396:J396"/>
    <mergeCell ref="M396:N396"/>
    <mergeCell ref="O396:Q396"/>
    <mergeCell ref="B397:C397"/>
    <mergeCell ref="I397:J397"/>
    <mergeCell ref="M397:N397"/>
    <mergeCell ref="O397:Q397"/>
    <mergeCell ref="B394:C394"/>
    <mergeCell ref="I394:J394"/>
    <mergeCell ref="M394:N394"/>
    <mergeCell ref="O394:Q394"/>
    <mergeCell ref="B395:C395"/>
    <mergeCell ref="I395:J395"/>
    <mergeCell ref="M395:N395"/>
    <mergeCell ref="O395:Q395"/>
    <mergeCell ref="B392:C392"/>
    <mergeCell ref="I392:J392"/>
    <mergeCell ref="M392:N392"/>
    <mergeCell ref="O392:Q392"/>
    <mergeCell ref="B393:C393"/>
    <mergeCell ref="I393:J393"/>
    <mergeCell ref="M393:N393"/>
    <mergeCell ref="O393:Q393"/>
    <mergeCell ref="B390:C390"/>
    <mergeCell ref="I390:J390"/>
    <mergeCell ref="M390:N390"/>
    <mergeCell ref="O390:Q390"/>
    <mergeCell ref="B391:C391"/>
    <mergeCell ref="I391:J391"/>
    <mergeCell ref="M391:N391"/>
    <mergeCell ref="O391:Q391"/>
    <mergeCell ref="B388:C388"/>
    <mergeCell ref="I388:J388"/>
    <mergeCell ref="M388:N388"/>
    <mergeCell ref="O388:Q388"/>
    <mergeCell ref="B389:C389"/>
    <mergeCell ref="I389:J389"/>
    <mergeCell ref="M389:N389"/>
    <mergeCell ref="O389:Q389"/>
    <mergeCell ref="B386:C386"/>
    <mergeCell ref="I386:J386"/>
    <mergeCell ref="M386:N386"/>
    <mergeCell ref="O386:Q386"/>
    <mergeCell ref="B387:C387"/>
    <mergeCell ref="I387:J387"/>
    <mergeCell ref="M387:N387"/>
    <mergeCell ref="O387:Q387"/>
    <mergeCell ref="B384:C384"/>
    <mergeCell ref="I384:J384"/>
    <mergeCell ref="M384:N384"/>
    <mergeCell ref="O384:Q384"/>
    <mergeCell ref="B385:C385"/>
    <mergeCell ref="I385:J385"/>
    <mergeCell ref="M385:N385"/>
    <mergeCell ref="O385:Q385"/>
    <mergeCell ref="K381:N381"/>
    <mergeCell ref="O381:Q383"/>
    <mergeCell ref="A382:A383"/>
    <mergeCell ref="B382:C383"/>
    <mergeCell ref="D382:E382"/>
    <mergeCell ref="F382:H382"/>
    <mergeCell ref="I382:J383"/>
    <mergeCell ref="K382:L382"/>
    <mergeCell ref="M382:N383"/>
    <mergeCell ref="A377:B377"/>
    <mergeCell ref="C377:D377"/>
    <mergeCell ref="F377:G377"/>
    <mergeCell ref="H377:I377"/>
    <mergeCell ref="J377:K377"/>
    <mergeCell ref="A380:Q380"/>
    <mergeCell ref="A375:B375"/>
    <mergeCell ref="F375:G375"/>
    <mergeCell ref="H375:I375"/>
    <mergeCell ref="J375:K375"/>
    <mergeCell ref="A376:B376"/>
    <mergeCell ref="F376:G376"/>
    <mergeCell ref="H376:I376"/>
    <mergeCell ref="J376:K376"/>
    <mergeCell ref="A373:B373"/>
    <mergeCell ref="F373:G373"/>
    <mergeCell ref="H373:I373"/>
    <mergeCell ref="J373:K373"/>
    <mergeCell ref="A374:B374"/>
    <mergeCell ref="F374:G374"/>
    <mergeCell ref="H374:I374"/>
    <mergeCell ref="J374:K374"/>
    <mergeCell ref="A370:M370"/>
    <mergeCell ref="A371:B371"/>
    <mergeCell ref="C371:D376"/>
    <mergeCell ref="F371:G371"/>
    <mergeCell ref="H371:I371"/>
    <mergeCell ref="J371:K371"/>
    <mergeCell ref="A372:B372"/>
    <mergeCell ref="F372:G372"/>
    <mergeCell ref="H372:I372"/>
    <mergeCell ref="J372:K372"/>
    <mergeCell ref="A369:B369"/>
    <mergeCell ref="F369:G369"/>
    <mergeCell ref="H369:I369"/>
    <mergeCell ref="J369:K369"/>
    <mergeCell ref="A366:B366"/>
    <mergeCell ref="F366:G366"/>
    <mergeCell ref="H366:I366"/>
    <mergeCell ref="J366:K366"/>
    <mergeCell ref="A367:B367"/>
    <mergeCell ref="F367:G367"/>
    <mergeCell ref="H367:I367"/>
    <mergeCell ref="J367:K367"/>
    <mergeCell ref="A363:M363"/>
    <mergeCell ref="A364:B364"/>
    <mergeCell ref="C364:D369"/>
    <mergeCell ref="F364:G364"/>
    <mergeCell ref="H364:I364"/>
    <mergeCell ref="J364:K364"/>
    <mergeCell ref="A365:B365"/>
    <mergeCell ref="F365:G365"/>
    <mergeCell ref="H365:I365"/>
    <mergeCell ref="J365:K365"/>
    <mergeCell ref="F353:G353"/>
    <mergeCell ref="H353:I353"/>
    <mergeCell ref="J353:K353"/>
    <mergeCell ref="A354:B354"/>
    <mergeCell ref="C354:D354"/>
    <mergeCell ref="F354:G354"/>
    <mergeCell ref="H354:I354"/>
    <mergeCell ref="J354:K354"/>
    <mergeCell ref="A360:I360"/>
    <mergeCell ref="J360:M360"/>
    <mergeCell ref="N360:Q360"/>
    <mergeCell ref="J361:K362"/>
    <mergeCell ref="L361:M361"/>
    <mergeCell ref="N361:Q377"/>
    <mergeCell ref="A362:B362"/>
    <mergeCell ref="C362:D362"/>
    <mergeCell ref="F362:G362"/>
    <mergeCell ref="H362:I362"/>
    <mergeCell ref="A357:B357"/>
    <mergeCell ref="C357:D357"/>
    <mergeCell ref="F357:G357"/>
    <mergeCell ref="H357:I357"/>
    <mergeCell ref="J357:K357"/>
    <mergeCell ref="A358:B358"/>
    <mergeCell ref="C358:D358"/>
    <mergeCell ref="F358:G358"/>
    <mergeCell ref="H358:I358"/>
    <mergeCell ref="J358:K358"/>
    <mergeCell ref="A368:B368"/>
    <mergeCell ref="F368:G368"/>
    <mergeCell ref="H368:I368"/>
    <mergeCell ref="J368:K368"/>
    <mergeCell ref="A350:I350"/>
    <mergeCell ref="J350:M350"/>
    <mergeCell ref="N350:Q350"/>
    <mergeCell ref="J351:K352"/>
    <mergeCell ref="L351:M351"/>
    <mergeCell ref="N351:Q358"/>
    <mergeCell ref="A352:B352"/>
    <mergeCell ref="C352:D352"/>
    <mergeCell ref="F352:G352"/>
    <mergeCell ref="H352:I352"/>
    <mergeCell ref="C347:D347"/>
    <mergeCell ref="E347:G347"/>
    <mergeCell ref="H347:I347"/>
    <mergeCell ref="J347:K347"/>
    <mergeCell ref="L347:M347"/>
    <mergeCell ref="A348:D348"/>
    <mergeCell ref="E348:G348"/>
    <mergeCell ref="H348:I348"/>
    <mergeCell ref="J348:K348"/>
    <mergeCell ref="L348:M348"/>
    <mergeCell ref="A355:B355"/>
    <mergeCell ref="C355:D355"/>
    <mergeCell ref="F355:G355"/>
    <mergeCell ref="H355:I355"/>
    <mergeCell ref="J355:K355"/>
    <mergeCell ref="A356:B356"/>
    <mergeCell ref="C356:D356"/>
    <mergeCell ref="F356:G356"/>
    <mergeCell ref="H356:I356"/>
    <mergeCell ref="J356:K356"/>
    <mergeCell ref="A353:B353"/>
    <mergeCell ref="C353:D353"/>
    <mergeCell ref="C345:D345"/>
    <mergeCell ref="E345:G345"/>
    <mergeCell ref="H345:I345"/>
    <mergeCell ref="J345:K345"/>
    <mergeCell ref="L345:M345"/>
    <mergeCell ref="C346:D346"/>
    <mergeCell ref="E346:G346"/>
    <mergeCell ref="H346:I346"/>
    <mergeCell ref="J346:K346"/>
    <mergeCell ref="L346:M346"/>
    <mergeCell ref="C343:D343"/>
    <mergeCell ref="E343:G343"/>
    <mergeCell ref="H343:I343"/>
    <mergeCell ref="J343:K343"/>
    <mergeCell ref="L343:M343"/>
    <mergeCell ref="C344:D344"/>
    <mergeCell ref="E344:G344"/>
    <mergeCell ref="H344:I344"/>
    <mergeCell ref="J344:K344"/>
    <mergeCell ref="L344:M344"/>
    <mergeCell ref="C341:D341"/>
    <mergeCell ref="E341:G341"/>
    <mergeCell ref="H341:I341"/>
    <mergeCell ref="J341:K341"/>
    <mergeCell ref="L341:M341"/>
    <mergeCell ref="C342:D342"/>
    <mergeCell ref="E342:G342"/>
    <mergeCell ref="H342:I342"/>
    <mergeCell ref="J342:K342"/>
    <mergeCell ref="L342:M342"/>
    <mergeCell ref="C339:D339"/>
    <mergeCell ref="E339:G339"/>
    <mergeCell ref="H339:I339"/>
    <mergeCell ref="J339:K339"/>
    <mergeCell ref="L339:M339"/>
    <mergeCell ref="C340:D340"/>
    <mergeCell ref="E340:G340"/>
    <mergeCell ref="H340:I340"/>
    <mergeCell ref="J340:K340"/>
    <mergeCell ref="L340:M340"/>
    <mergeCell ref="C337:D337"/>
    <mergeCell ref="E337:G337"/>
    <mergeCell ref="H337:I337"/>
    <mergeCell ref="J337:K337"/>
    <mergeCell ref="L337:M337"/>
    <mergeCell ref="C338:D338"/>
    <mergeCell ref="E338:G338"/>
    <mergeCell ref="H338:I338"/>
    <mergeCell ref="J338:K338"/>
    <mergeCell ref="L338:M338"/>
    <mergeCell ref="C335:D335"/>
    <mergeCell ref="E335:G335"/>
    <mergeCell ref="H335:I335"/>
    <mergeCell ref="J335:K335"/>
    <mergeCell ref="L335:M335"/>
    <mergeCell ref="C336:D336"/>
    <mergeCell ref="E336:G336"/>
    <mergeCell ref="H336:I336"/>
    <mergeCell ref="J336:K336"/>
    <mergeCell ref="L336:M336"/>
    <mergeCell ref="C333:D333"/>
    <mergeCell ref="E333:G333"/>
    <mergeCell ref="H333:I333"/>
    <mergeCell ref="J333:K333"/>
    <mergeCell ref="L333:M333"/>
    <mergeCell ref="C334:D334"/>
    <mergeCell ref="E334:G334"/>
    <mergeCell ref="H334:I334"/>
    <mergeCell ref="J334:K334"/>
    <mergeCell ref="L334:M334"/>
    <mergeCell ref="A331:M331"/>
    <mergeCell ref="C332:D332"/>
    <mergeCell ref="E332:G332"/>
    <mergeCell ref="H332:I332"/>
    <mergeCell ref="J332:K332"/>
    <mergeCell ref="L332:M332"/>
    <mergeCell ref="C329:D329"/>
    <mergeCell ref="E329:G329"/>
    <mergeCell ref="H329:I329"/>
    <mergeCell ref="J329:K329"/>
    <mergeCell ref="L329:M329"/>
    <mergeCell ref="C330:D330"/>
    <mergeCell ref="E330:G330"/>
    <mergeCell ref="H330:I330"/>
    <mergeCell ref="J330:K330"/>
    <mergeCell ref="L330:M330"/>
    <mergeCell ref="C327:D327"/>
    <mergeCell ref="E327:G327"/>
    <mergeCell ref="H327:I327"/>
    <mergeCell ref="J327:K327"/>
    <mergeCell ref="L327:M327"/>
    <mergeCell ref="C328:D328"/>
    <mergeCell ref="E328:G328"/>
    <mergeCell ref="H328:I328"/>
    <mergeCell ref="J328:K328"/>
    <mergeCell ref="L328:M328"/>
    <mergeCell ref="C325:D325"/>
    <mergeCell ref="E325:G325"/>
    <mergeCell ref="H325:I325"/>
    <mergeCell ref="J325:K325"/>
    <mergeCell ref="L325:M325"/>
    <mergeCell ref="C326:D326"/>
    <mergeCell ref="E326:G326"/>
    <mergeCell ref="H326:I326"/>
    <mergeCell ref="J326:K326"/>
    <mergeCell ref="L326:M326"/>
    <mergeCell ref="C315:D315"/>
    <mergeCell ref="E315:G315"/>
    <mergeCell ref="H315:I315"/>
    <mergeCell ref="J315:K315"/>
    <mergeCell ref="L315:M315"/>
    <mergeCell ref="C316:D316"/>
    <mergeCell ref="E316:G316"/>
    <mergeCell ref="H316:I316"/>
    <mergeCell ref="J316:K316"/>
    <mergeCell ref="L316:M316"/>
    <mergeCell ref="C323:D323"/>
    <mergeCell ref="E323:G323"/>
    <mergeCell ref="H323:I323"/>
    <mergeCell ref="J323:K323"/>
    <mergeCell ref="L323:M323"/>
    <mergeCell ref="C324:D324"/>
    <mergeCell ref="E324:G324"/>
    <mergeCell ref="H324:I324"/>
    <mergeCell ref="J324:K324"/>
    <mergeCell ref="L324:M324"/>
    <mergeCell ref="C321:D321"/>
    <mergeCell ref="E321:G321"/>
    <mergeCell ref="H321:I321"/>
    <mergeCell ref="J321:K321"/>
    <mergeCell ref="L321:M321"/>
    <mergeCell ref="C322:D322"/>
    <mergeCell ref="E322:G322"/>
    <mergeCell ref="H322:I322"/>
    <mergeCell ref="J322:K322"/>
    <mergeCell ref="L322:M322"/>
    <mergeCell ref="J311:M311"/>
    <mergeCell ref="N311:Q348"/>
    <mergeCell ref="C312:D312"/>
    <mergeCell ref="E312:G312"/>
    <mergeCell ref="H312:I312"/>
    <mergeCell ref="J312:K312"/>
    <mergeCell ref="L312:M312"/>
    <mergeCell ref="A313:M313"/>
    <mergeCell ref="A314:M314"/>
    <mergeCell ref="A308:D308"/>
    <mergeCell ref="E308:G308"/>
    <mergeCell ref="H308:I308"/>
    <mergeCell ref="J308:K308"/>
    <mergeCell ref="L308:M308"/>
    <mergeCell ref="A310:I310"/>
    <mergeCell ref="J310:M310"/>
    <mergeCell ref="C319:D319"/>
    <mergeCell ref="E319:G319"/>
    <mergeCell ref="H319:I319"/>
    <mergeCell ref="J319:K319"/>
    <mergeCell ref="L319:M319"/>
    <mergeCell ref="C320:D320"/>
    <mergeCell ref="E320:G320"/>
    <mergeCell ref="H320:I320"/>
    <mergeCell ref="J320:K320"/>
    <mergeCell ref="L320:M320"/>
    <mergeCell ref="C317:D317"/>
    <mergeCell ref="E317:G317"/>
    <mergeCell ref="H317:I317"/>
    <mergeCell ref="J317:K317"/>
    <mergeCell ref="L317:M317"/>
    <mergeCell ref="A318:M318"/>
    <mergeCell ref="E307:G307"/>
    <mergeCell ref="H307:I307"/>
    <mergeCell ref="J307:K307"/>
    <mergeCell ref="L307:M307"/>
    <mergeCell ref="C304:D304"/>
    <mergeCell ref="E304:G304"/>
    <mergeCell ref="H304:I304"/>
    <mergeCell ref="J304:K304"/>
    <mergeCell ref="L304:M304"/>
    <mergeCell ref="A305:M305"/>
    <mergeCell ref="A302:M302"/>
    <mergeCell ref="C303:D303"/>
    <mergeCell ref="E303:G303"/>
    <mergeCell ref="H303:I303"/>
    <mergeCell ref="J303:K303"/>
    <mergeCell ref="L303:M303"/>
    <mergeCell ref="N310:Q310"/>
    <mergeCell ref="C300:D300"/>
    <mergeCell ref="E300:G300"/>
    <mergeCell ref="H300:I300"/>
    <mergeCell ref="J300:K300"/>
    <mergeCell ref="L300:M300"/>
    <mergeCell ref="A301:M301"/>
    <mergeCell ref="L297:M297"/>
    <mergeCell ref="A298:M298"/>
    <mergeCell ref="C299:D299"/>
    <mergeCell ref="E299:G299"/>
    <mergeCell ref="H299:I299"/>
    <mergeCell ref="J299:K299"/>
    <mergeCell ref="L299:M299"/>
    <mergeCell ref="L283:M283"/>
    <mergeCell ref="A295:I295"/>
    <mergeCell ref="J295:M295"/>
    <mergeCell ref="N295:Q295"/>
    <mergeCell ref="J296:M296"/>
    <mergeCell ref="N296:Q308"/>
    <mergeCell ref="C297:D297"/>
    <mergeCell ref="E297:G297"/>
    <mergeCell ref="H297:I297"/>
    <mergeCell ref="J297:K297"/>
    <mergeCell ref="A283:G283"/>
    <mergeCell ref="H283:I283"/>
    <mergeCell ref="J283:K283"/>
    <mergeCell ref="C306:D306"/>
    <mergeCell ref="E306:G306"/>
    <mergeCell ref="H306:I306"/>
    <mergeCell ref="J306:K306"/>
    <mergeCell ref="L306:M306"/>
    <mergeCell ref="C307:D307"/>
    <mergeCell ref="A279:I279"/>
    <mergeCell ref="A280:G280"/>
    <mergeCell ref="H280:I280"/>
    <mergeCell ref="J280:K282"/>
    <mergeCell ref="L280:M282"/>
    <mergeCell ref="A281:G281"/>
    <mergeCell ref="N274:Q274"/>
    <mergeCell ref="A275:I275"/>
    <mergeCell ref="J275:M275"/>
    <mergeCell ref="N275:Q282"/>
    <mergeCell ref="A276:G276"/>
    <mergeCell ref="H276:I276"/>
    <mergeCell ref="J276:K276"/>
    <mergeCell ref="L276:M276"/>
    <mergeCell ref="A277:G277"/>
    <mergeCell ref="H277:I277"/>
    <mergeCell ref="B272:C272"/>
    <mergeCell ref="D272:E272"/>
    <mergeCell ref="F272:G272"/>
    <mergeCell ref="H272:I272"/>
    <mergeCell ref="J272:K272"/>
    <mergeCell ref="A274:I274"/>
    <mergeCell ref="J274:M274"/>
    <mergeCell ref="F270:G270"/>
    <mergeCell ref="H270:I270"/>
    <mergeCell ref="J270:K270"/>
    <mergeCell ref="B271:C271"/>
    <mergeCell ref="D271:E271"/>
    <mergeCell ref="F271:G271"/>
    <mergeCell ref="H271:I271"/>
    <mergeCell ref="J271:K271"/>
    <mergeCell ref="N267:Q267"/>
    <mergeCell ref="J268:K269"/>
    <mergeCell ref="L268:M268"/>
    <mergeCell ref="N268:Q272"/>
    <mergeCell ref="B269:C269"/>
    <mergeCell ref="D269:E269"/>
    <mergeCell ref="F269:G269"/>
    <mergeCell ref="H269:I269"/>
    <mergeCell ref="B270:C270"/>
    <mergeCell ref="D270:E270"/>
    <mergeCell ref="B265:C265"/>
    <mergeCell ref="D265:F265"/>
    <mergeCell ref="J265:K265"/>
    <mergeCell ref="A267:I267"/>
    <mergeCell ref="J267:M267"/>
    <mergeCell ref="D263:F263"/>
    <mergeCell ref="J263:K263"/>
    <mergeCell ref="B264:C264"/>
    <mergeCell ref="D264:F264"/>
    <mergeCell ref="J264:K264"/>
    <mergeCell ref="A260:I260"/>
    <mergeCell ref="J260:M260"/>
    <mergeCell ref="N260:Q260"/>
    <mergeCell ref="J261:K262"/>
    <mergeCell ref="L261:M261"/>
    <mergeCell ref="N261:Q265"/>
    <mergeCell ref="B262:C262"/>
    <mergeCell ref="D262:F262"/>
    <mergeCell ref="B263:C263"/>
    <mergeCell ref="C257:D257"/>
    <mergeCell ref="E257:F257"/>
    <mergeCell ref="G257:I257"/>
    <mergeCell ref="J257:K257"/>
    <mergeCell ref="C258:D258"/>
    <mergeCell ref="E258:F258"/>
    <mergeCell ref="G258:I258"/>
    <mergeCell ref="J258:K258"/>
    <mergeCell ref="C255:D255"/>
    <mergeCell ref="E255:F255"/>
    <mergeCell ref="G255:I255"/>
    <mergeCell ref="J255:K255"/>
    <mergeCell ref="C256:D256"/>
    <mergeCell ref="E256:F256"/>
    <mergeCell ref="G256:I256"/>
    <mergeCell ref="J256:K256"/>
    <mergeCell ref="C253:D253"/>
    <mergeCell ref="E253:F253"/>
    <mergeCell ref="G253:I253"/>
    <mergeCell ref="J253:K253"/>
    <mergeCell ref="C254:D254"/>
    <mergeCell ref="E254:F254"/>
    <mergeCell ref="G254:I254"/>
    <mergeCell ref="J254:K254"/>
    <mergeCell ref="G245:I245"/>
    <mergeCell ref="J245:K245"/>
    <mergeCell ref="C246:D246"/>
    <mergeCell ref="C251:D251"/>
    <mergeCell ref="E251:F251"/>
    <mergeCell ref="G251:I251"/>
    <mergeCell ref="J251:K251"/>
    <mergeCell ref="C252:D252"/>
    <mergeCell ref="E252:F252"/>
    <mergeCell ref="G252:I252"/>
    <mergeCell ref="J252:K252"/>
    <mergeCell ref="C248:D248"/>
    <mergeCell ref="E248:F248"/>
    <mergeCell ref="G248:I248"/>
    <mergeCell ref="J248:K248"/>
    <mergeCell ref="A249:M249"/>
    <mergeCell ref="B250:B255"/>
    <mergeCell ref="C250:D250"/>
    <mergeCell ref="E250:F250"/>
    <mergeCell ref="G250:I250"/>
    <mergeCell ref="J250:K250"/>
    <mergeCell ref="A240:I240"/>
    <mergeCell ref="J240:M240"/>
    <mergeCell ref="N240:Q240"/>
    <mergeCell ref="J241:K242"/>
    <mergeCell ref="L241:M241"/>
    <mergeCell ref="N241:Q258"/>
    <mergeCell ref="C242:D242"/>
    <mergeCell ref="E242:F242"/>
    <mergeCell ref="G242:I242"/>
    <mergeCell ref="A243:M243"/>
    <mergeCell ref="A237:B237"/>
    <mergeCell ref="D237:E237"/>
    <mergeCell ref="H237:I237"/>
    <mergeCell ref="J237:K237"/>
    <mergeCell ref="A238:C238"/>
    <mergeCell ref="D238:E238"/>
    <mergeCell ref="H238:I238"/>
    <mergeCell ref="J238:K238"/>
    <mergeCell ref="E246:F246"/>
    <mergeCell ref="G246:I246"/>
    <mergeCell ref="J246:K246"/>
    <mergeCell ref="C247:D247"/>
    <mergeCell ref="E247:F247"/>
    <mergeCell ref="G247:I247"/>
    <mergeCell ref="J247:K247"/>
    <mergeCell ref="B244:B248"/>
    <mergeCell ref="C244:D244"/>
    <mergeCell ref="E244:F244"/>
    <mergeCell ref="G244:I244"/>
    <mergeCell ref="J244:K244"/>
    <mergeCell ref="C245:D245"/>
    <mergeCell ref="E245:F245"/>
    <mergeCell ref="A233:B233"/>
    <mergeCell ref="D233:E233"/>
    <mergeCell ref="H233:I233"/>
    <mergeCell ref="J233:K233"/>
    <mergeCell ref="A234:B234"/>
    <mergeCell ref="D234:E234"/>
    <mergeCell ref="H234:I234"/>
    <mergeCell ref="J234:K234"/>
    <mergeCell ref="A231:B231"/>
    <mergeCell ref="D231:E231"/>
    <mergeCell ref="F231:G231"/>
    <mergeCell ref="H231:I231"/>
    <mergeCell ref="J231:K231"/>
    <mergeCell ref="A232:B232"/>
    <mergeCell ref="D232:E232"/>
    <mergeCell ref="H232:I232"/>
    <mergeCell ref="J232:K232"/>
    <mergeCell ref="A229:B229"/>
    <mergeCell ref="D229:E229"/>
    <mergeCell ref="F229:G229"/>
    <mergeCell ref="H229:I229"/>
    <mergeCell ref="J229:K229"/>
    <mergeCell ref="A230:B230"/>
    <mergeCell ref="D230:E230"/>
    <mergeCell ref="H230:I230"/>
    <mergeCell ref="J230:K230"/>
    <mergeCell ref="A227:B227"/>
    <mergeCell ref="D227:E227"/>
    <mergeCell ref="F227:G227"/>
    <mergeCell ref="H227:I227"/>
    <mergeCell ref="J227:K227"/>
    <mergeCell ref="A228:B228"/>
    <mergeCell ref="D228:E228"/>
    <mergeCell ref="H228:I228"/>
    <mergeCell ref="J228:K228"/>
    <mergeCell ref="D225:E225"/>
    <mergeCell ref="H225:I225"/>
    <mergeCell ref="J225:K225"/>
    <mergeCell ref="D226:E226"/>
    <mergeCell ref="H226:I226"/>
    <mergeCell ref="J226:K226"/>
    <mergeCell ref="J222:K222"/>
    <mergeCell ref="H223:I223"/>
    <mergeCell ref="J223:K223"/>
    <mergeCell ref="D224:E224"/>
    <mergeCell ref="F224:G224"/>
    <mergeCell ref="H224:I224"/>
    <mergeCell ref="J224:K224"/>
    <mergeCell ref="D219:E219"/>
    <mergeCell ref="F219:G219"/>
    <mergeCell ref="H219:I219"/>
    <mergeCell ref="J219:K219"/>
    <mergeCell ref="D220:E223"/>
    <mergeCell ref="H220:I220"/>
    <mergeCell ref="J220:K220"/>
    <mergeCell ref="H221:I221"/>
    <mergeCell ref="J221:K221"/>
    <mergeCell ref="H222:I222"/>
    <mergeCell ref="A217:B217"/>
    <mergeCell ref="D217:E217"/>
    <mergeCell ref="H217:I217"/>
    <mergeCell ref="J217:K217"/>
    <mergeCell ref="A218:B218"/>
    <mergeCell ref="D218:E218"/>
    <mergeCell ref="H218:I218"/>
    <mergeCell ref="J218:K218"/>
    <mergeCell ref="A215:B215"/>
    <mergeCell ref="D215:E215"/>
    <mergeCell ref="H215:I215"/>
    <mergeCell ref="J215:K215"/>
    <mergeCell ref="A216:B216"/>
    <mergeCell ref="D216:E216"/>
    <mergeCell ref="H216:I216"/>
    <mergeCell ref="J216:K216"/>
    <mergeCell ref="A213:B213"/>
    <mergeCell ref="D213:E213"/>
    <mergeCell ref="H213:I213"/>
    <mergeCell ref="J213:K213"/>
    <mergeCell ref="A214:B214"/>
    <mergeCell ref="D214:E214"/>
    <mergeCell ref="F214:G214"/>
    <mergeCell ref="H214:I214"/>
    <mergeCell ref="J214:K214"/>
    <mergeCell ref="A210:M210"/>
    <mergeCell ref="A211:B211"/>
    <mergeCell ref="D211:E211"/>
    <mergeCell ref="H211:I211"/>
    <mergeCell ref="J211:K211"/>
    <mergeCell ref="A212:B212"/>
    <mergeCell ref="D212:E212"/>
    <mergeCell ref="H212:I212"/>
    <mergeCell ref="J212:K212"/>
    <mergeCell ref="A208:B208"/>
    <mergeCell ref="D208:E208"/>
    <mergeCell ref="H208:I208"/>
    <mergeCell ref="J208:K208"/>
    <mergeCell ref="A209:B209"/>
    <mergeCell ref="D209:E209"/>
    <mergeCell ref="H209:I209"/>
    <mergeCell ref="J209:K209"/>
    <mergeCell ref="A203:B203"/>
    <mergeCell ref="D203:E203"/>
    <mergeCell ref="H203:I203"/>
    <mergeCell ref="J203:K203"/>
    <mergeCell ref="A206:M206"/>
    <mergeCell ref="A207:B207"/>
    <mergeCell ref="D207:E207"/>
    <mergeCell ref="H207:I207"/>
    <mergeCell ref="J207:K207"/>
    <mergeCell ref="A204:B204"/>
    <mergeCell ref="A201:B201"/>
    <mergeCell ref="D201:E201"/>
    <mergeCell ref="H201:I201"/>
    <mergeCell ref="J201:K201"/>
    <mergeCell ref="A202:B202"/>
    <mergeCell ref="D202:E202"/>
    <mergeCell ref="F202:G202"/>
    <mergeCell ref="H202:I202"/>
    <mergeCell ref="J202:K202"/>
    <mergeCell ref="H200:I200"/>
    <mergeCell ref="J200:K200"/>
    <mergeCell ref="A197:B197"/>
    <mergeCell ref="D197:E197"/>
    <mergeCell ref="H197:I197"/>
    <mergeCell ref="J197:K197"/>
    <mergeCell ref="A198:B198"/>
    <mergeCell ref="D198:E198"/>
    <mergeCell ref="H198:I198"/>
    <mergeCell ref="J198:K198"/>
    <mergeCell ref="A195:B195"/>
    <mergeCell ref="D195:E195"/>
    <mergeCell ref="H195:I195"/>
    <mergeCell ref="J195:K195"/>
    <mergeCell ref="A196:B196"/>
    <mergeCell ref="D196:E196"/>
    <mergeCell ref="H196:I196"/>
    <mergeCell ref="J196:K196"/>
    <mergeCell ref="A194:B194"/>
    <mergeCell ref="D194:E194"/>
    <mergeCell ref="H194:I194"/>
    <mergeCell ref="J194:K194"/>
    <mergeCell ref="H190:I190"/>
    <mergeCell ref="J190:K190"/>
    <mergeCell ref="A191:B191"/>
    <mergeCell ref="D191:E191"/>
    <mergeCell ref="H191:I191"/>
    <mergeCell ref="J191:K191"/>
    <mergeCell ref="J186:M186"/>
    <mergeCell ref="N186:Q186"/>
    <mergeCell ref="J187:K188"/>
    <mergeCell ref="N187:Q238"/>
    <mergeCell ref="A189:B189"/>
    <mergeCell ref="D189:E189"/>
    <mergeCell ref="H189:I189"/>
    <mergeCell ref="J189:K189"/>
    <mergeCell ref="A190:B190"/>
    <mergeCell ref="D190:E190"/>
    <mergeCell ref="A186:B188"/>
    <mergeCell ref="C186:C188"/>
    <mergeCell ref="D186:E188"/>
    <mergeCell ref="F186:F188"/>
    <mergeCell ref="G186:G188"/>
    <mergeCell ref="H186:I188"/>
    <mergeCell ref="A199:B199"/>
    <mergeCell ref="D199:E199"/>
    <mergeCell ref="H199:I199"/>
    <mergeCell ref="J199:K199"/>
    <mergeCell ref="A200:B200"/>
    <mergeCell ref="D200:E200"/>
    <mergeCell ref="A182:H182"/>
    <mergeCell ref="J182:K182"/>
    <mergeCell ref="A183:H183"/>
    <mergeCell ref="J183:K183"/>
    <mergeCell ref="A177:Q177"/>
    <mergeCell ref="A179:H179"/>
    <mergeCell ref="J179:K179"/>
    <mergeCell ref="A180:H180"/>
    <mergeCell ref="J180:K180"/>
    <mergeCell ref="H173:I173"/>
    <mergeCell ref="J173:K173"/>
    <mergeCell ref="H174:I174"/>
    <mergeCell ref="J174:K174"/>
    <mergeCell ref="A175:D175"/>
    <mergeCell ref="H175:I175"/>
    <mergeCell ref="J175:K175"/>
    <mergeCell ref="A193:B193"/>
    <mergeCell ref="D193:E193"/>
    <mergeCell ref="H193:I193"/>
    <mergeCell ref="J193:K193"/>
    <mergeCell ref="A192:B192"/>
    <mergeCell ref="D192:E192"/>
    <mergeCell ref="H192:I192"/>
    <mergeCell ref="J192:K192"/>
    <mergeCell ref="A166:C166"/>
    <mergeCell ref="F166:G166"/>
    <mergeCell ref="H166:I166"/>
    <mergeCell ref="J166:K166"/>
    <mergeCell ref="A168:I168"/>
    <mergeCell ref="J168:M168"/>
    <mergeCell ref="F163:G163"/>
    <mergeCell ref="H163:I163"/>
    <mergeCell ref="J163:K163"/>
    <mergeCell ref="B164:B165"/>
    <mergeCell ref="F164:G164"/>
    <mergeCell ref="H164:I164"/>
    <mergeCell ref="J164:K164"/>
    <mergeCell ref="F165:G165"/>
    <mergeCell ref="H165:I165"/>
    <mergeCell ref="J165:K165"/>
    <mergeCell ref="A181:H181"/>
    <mergeCell ref="J181:K181"/>
    <mergeCell ref="N157:Q157"/>
    <mergeCell ref="J158:K159"/>
    <mergeCell ref="L158:M158"/>
    <mergeCell ref="N158:Q166"/>
    <mergeCell ref="F159:G159"/>
    <mergeCell ref="H159:I159"/>
    <mergeCell ref="F160:G160"/>
    <mergeCell ref="H160:I160"/>
    <mergeCell ref="N168:Q168"/>
    <mergeCell ref="J169:K170"/>
    <mergeCell ref="L169:M169"/>
    <mergeCell ref="N169:Q175"/>
    <mergeCell ref="H170:I170"/>
    <mergeCell ref="H171:I171"/>
    <mergeCell ref="J171:K171"/>
    <mergeCell ref="H172:I172"/>
    <mergeCell ref="J172:K172"/>
    <mergeCell ref="G152:H152"/>
    <mergeCell ref="I152:J152"/>
    <mergeCell ref="E153:F153"/>
    <mergeCell ref="G153:H153"/>
    <mergeCell ref="I153:J153"/>
    <mergeCell ref="E150:F150"/>
    <mergeCell ref="G150:H150"/>
    <mergeCell ref="I150:J150"/>
    <mergeCell ref="E151:F151"/>
    <mergeCell ref="G151:H151"/>
    <mergeCell ref="I151:J151"/>
    <mergeCell ref="J160:K160"/>
    <mergeCell ref="F161:G161"/>
    <mergeCell ref="H161:I161"/>
    <mergeCell ref="J161:K161"/>
    <mergeCell ref="F162:G162"/>
    <mergeCell ref="H162:I162"/>
    <mergeCell ref="J162:K162"/>
    <mergeCell ref="A157:I157"/>
    <mergeCell ref="J157:M157"/>
    <mergeCell ref="E148:F148"/>
    <mergeCell ref="G148:H148"/>
    <mergeCell ref="I148:J148"/>
    <mergeCell ref="E149:F149"/>
    <mergeCell ref="G149:H149"/>
    <mergeCell ref="I149:J149"/>
    <mergeCell ref="G145:H145"/>
    <mergeCell ref="I145:J145"/>
    <mergeCell ref="E146:F146"/>
    <mergeCell ref="G146:H146"/>
    <mergeCell ref="I146:J146"/>
    <mergeCell ref="E147:F147"/>
    <mergeCell ref="G147:H147"/>
    <mergeCell ref="I147:J147"/>
    <mergeCell ref="A142:J142"/>
    <mergeCell ref="K142:M142"/>
    <mergeCell ref="N142:Q142"/>
    <mergeCell ref="K143:K144"/>
    <mergeCell ref="L143:M143"/>
    <mergeCell ref="N143:Q155"/>
    <mergeCell ref="E144:F144"/>
    <mergeCell ref="G144:H144"/>
    <mergeCell ref="I144:J144"/>
    <mergeCell ref="E145:F145"/>
    <mergeCell ref="E154:F154"/>
    <mergeCell ref="G154:H154"/>
    <mergeCell ref="I154:J154"/>
    <mergeCell ref="A155:C155"/>
    <mergeCell ref="E155:F155"/>
    <mergeCell ref="G155:H155"/>
    <mergeCell ref="I155:J155"/>
    <mergeCell ref="E152:F152"/>
    <mergeCell ref="C140:D140"/>
    <mergeCell ref="E140:G140"/>
    <mergeCell ref="K140:L140"/>
    <mergeCell ref="O135:Q135"/>
    <mergeCell ref="K136:L137"/>
    <mergeCell ref="M136:N136"/>
    <mergeCell ref="O136:Q140"/>
    <mergeCell ref="C137:D137"/>
    <mergeCell ref="E137:G137"/>
    <mergeCell ref="C138:D138"/>
    <mergeCell ref="E138:G138"/>
    <mergeCell ref="A133:C133"/>
    <mergeCell ref="E133:F133"/>
    <mergeCell ref="G133:H133"/>
    <mergeCell ref="I133:J133"/>
    <mergeCell ref="K133:L133"/>
    <mergeCell ref="A135:J135"/>
    <mergeCell ref="K135:N135"/>
    <mergeCell ref="A132:B132"/>
    <mergeCell ref="E132:F132"/>
    <mergeCell ref="G132:H132"/>
    <mergeCell ref="I132:J132"/>
    <mergeCell ref="K132:L132"/>
    <mergeCell ref="A129:B129"/>
    <mergeCell ref="E129:F129"/>
    <mergeCell ref="G129:H129"/>
    <mergeCell ref="I129:J129"/>
    <mergeCell ref="K129:L129"/>
    <mergeCell ref="A130:B130"/>
    <mergeCell ref="E130:F130"/>
    <mergeCell ref="G130:H130"/>
    <mergeCell ref="I130:J130"/>
    <mergeCell ref="K130:L130"/>
    <mergeCell ref="K138:L138"/>
    <mergeCell ref="C139:D139"/>
    <mergeCell ref="E139:G139"/>
    <mergeCell ref="K139:L139"/>
    <mergeCell ref="A128:B128"/>
    <mergeCell ref="E128:F128"/>
    <mergeCell ref="G128:H128"/>
    <mergeCell ref="I128:J128"/>
    <mergeCell ref="K128:L128"/>
    <mergeCell ref="A125:B125"/>
    <mergeCell ref="E125:F125"/>
    <mergeCell ref="G125:H125"/>
    <mergeCell ref="I125:J125"/>
    <mergeCell ref="K125:L125"/>
    <mergeCell ref="A126:B126"/>
    <mergeCell ref="E126:F126"/>
    <mergeCell ref="G126:H126"/>
    <mergeCell ref="I126:J126"/>
    <mergeCell ref="K126:L126"/>
    <mergeCell ref="A131:B131"/>
    <mergeCell ref="E131:F131"/>
    <mergeCell ref="G131:H131"/>
    <mergeCell ref="I131:J131"/>
    <mergeCell ref="K131:L131"/>
    <mergeCell ref="A124:B124"/>
    <mergeCell ref="E124:F124"/>
    <mergeCell ref="G124:H124"/>
    <mergeCell ref="I124:J124"/>
    <mergeCell ref="K124:L124"/>
    <mergeCell ref="A120:N120"/>
    <mergeCell ref="A121:B122"/>
    <mergeCell ref="C121:C122"/>
    <mergeCell ref="D121:D122"/>
    <mergeCell ref="E121:F122"/>
    <mergeCell ref="G121:H122"/>
    <mergeCell ref="I121:J122"/>
    <mergeCell ref="K121:L122"/>
    <mergeCell ref="M121:M122"/>
    <mergeCell ref="N121:N122"/>
    <mergeCell ref="A127:B127"/>
    <mergeCell ref="E127:F127"/>
    <mergeCell ref="G127:H127"/>
    <mergeCell ref="I127:J127"/>
    <mergeCell ref="K127:L127"/>
    <mergeCell ref="A119:B119"/>
    <mergeCell ref="E119:F119"/>
    <mergeCell ref="G119:H119"/>
    <mergeCell ref="I119:J119"/>
    <mergeCell ref="K119:L119"/>
    <mergeCell ref="A116:B116"/>
    <mergeCell ref="E116:F116"/>
    <mergeCell ref="G116:H116"/>
    <mergeCell ref="I116:J116"/>
    <mergeCell ref="K116:L116"/>
    <mergeCell ref="A117:B117"/>
    <mergeCell ref="E117:F117"/>
    <mergeCell ref="G117:H117"/>
    <mergeCell ref="I117:J117"/>
    <mergeCell ref="K117:L117"/>
    <mergeCell ref="A123:B123"/>
    <mergeCell ref="E123:F123"/>
    <mergeCell ref="G123:H123"/>
    <mergeCell ref="I123:J123"/>
    <mergeCell ref="K123:L123"/>
    <mergeCell ref="A115:B115"/>
    <mergeCell ref="E115:F115"/>
    <mergeCell ref="G115:H115"/>
    <mergeCell ref="I115:J115"/>
    <mergeCell ref="K115:L115"/>
    <mergeCell ref="A112:B112"/>
    <mergeCell ref="E112:F112"/>
    <mergeCell ref="G112:H112"/>
    <mergeCell ref="I112:J112"/>
    <mergeCell ref="K112:L112"/>
    <mergeCell ref="A113:B113"/>
    <mergeCell ref="E113:F113"/>
    <mergeCell ref="G113:H113"/>
    <mergeCell ref="I113:J113"/>
    <mergeCell ref="K113:L113"/>
    <mergeCell ref="A118:B118"/>
    <mergeCell ref="E118:F118"/>
    <mergeCell ref="G118:H118"/>
    <mergeCell ref="I118:J118"/>
    <mergeCell ref="K118:L118"/>
    <mergeCell ref="A111:B111"/>
    <mergeCell ref="E111:F111"/>
    <mergeCell ref="G111:H111"/>
    <mergeCell ref="I111:J111"/>
    <mergeCell ref="K111:L111"/>
    <mergeCell ref="A108:B108"/>
    <mergeCell ref="E108:F108"/>
    <mergeCell ref="G108:H108"/>
    <mergeCell ref="I108:J108"/>
    <mergeCell ref="K108:L108"/>
    <mergeCell ref="A109:B109"/>
    <mergeCell ref="E109:F109"/>
    <mergeCell ref="G109:H109"/>
    <mergeCell ref="I109:J109"/>
    <mergeCell ref="K109:L109"/>
    <mergeCell ref="A114:B114"/>
    <mergeCell ref="E114:F114"/>
    <mergeCell ref="G114:H114"/>
    <mergeCell ref="I114:J114"/>
    <mergeCell ref="K114:L114"/>
    <mergeCell ref="E107:F107"/>
    <mergeCell ref="G107:H107"/>
    <mergeCell ref="I107:J107"/>
    <mergeCell ref="K107:L107"/>
    <mergeCell ref="A104:N104"/>
    <mergeCell ref="A105:B105"/>
    <mergeCell ref="E105:F105"/>
    <mergeCell ref="G105:H105"/>
    <mergeCell ref="I105:J105"/>
    <mergeCell ref="K105:L105"/>
    <mergeCell ref="A101:J101"/>
    <mergeCell ref="K101:N101"/>
    <mergeCell ref="A110:B110"/>
    <mergeCell ref="E110:F110"/>
    <mergeCell ref="G110:H110"/>
    <mergeCell ref="I110:J110"/>
    <mergeCell ref="K110:L110"/>
    <mergeCell ref="O101:Q101"/>
    <mergeCell ref="K102:L103"/>
    <mergeCell ref="M102:N102"/>
    <mergeCell ref="O102:Q133"/>
    <mergeCell ref="A103:B103"/>
    <mergeCell ref="E103:F103"/>
    <mergeCell ref="G103:H103"/>
    <mergeCell ref="I103:J103"/>
    <mergeCell ref="C98:D98"/>
    <mergeCell ref="F98:G98"/>
    <mergeCell ref="H98:I98"/>
    <mergeCell ref="J98:K98"/>
    <mergeCell ref="C99:D99"/>
    <mergeCell ref="F99:G99"/>
    <mergeCell ref="H99:I99"/>
    <mergeCell ref="J99:K99"/>
    <mergeCell ref="F94:G95"/>
    <mergeCell ref="H94:I95"/>
    <mergeCell ref="L94:L95"/>
    <mergeCell ref="M94:M95"/>
    <mergeCell ref="C97:D97"/>
    <mergeCell ref="F97:G97"/>
    <mergeCell ref="H97:I97"/>
    <mergeCell ref="J97:K97"/>
    <mergeCell ref="C96:D96"/>
    <mergeCell ref="F96:G96"/>
    <mergeCell ref="A106:B106"/>
    <mergeCell ref="E106:F106"/>
    <mergeCell ref="G106:H106"/>
    <mergeCell ref="I106:J106"/>
    <mergeCell ref="K106:L106"/>
    <mergeCell ref="A107:B107"/>
    <mergeCell ref="F79:G79"/>
    <mergeCell ref="H79:I79"/>
    <mergeCell ref="J79:K79"/>
    <mergeCell ref="A80:B80"/>
    <mergeCell ref="F80:G80"/>
    <mergeCell ref="H80:I80"/>
    <mergeCell ref="J80:K80"/>
    <mergeCell ref="A92:I92"/>
    <mergeCell ref="J92:M92"/>
    <mergeCell ref="N92:Q92"/>
    <mergeCell ref="J93:K95"/>
    <mergeCell ref="L93:M93"/>
    <mergeCell ref="N93:Q99"/>
    <mergeCell ref="A94:A95"/>
    <mergeCell ref="B94:B95"/>
    <mergeCell ref="C94:D95"/>
    <mergeCell ref="E94:E95"/>
    <mergeCell ref="A88:E88"/>
    <mergeCell ref="H88:I88"/>
    <mergeCell ref="A89:E89"/>
    <mergeCell ref="H89:I89"/>
    <mergeCell ref="A90:E90"/>
    <mergeCell ref="H90:I90"/>
    <mergeCell ref="A84:I84"/>
    <mergeCell ref="A85:E85"/>
    <mergeCell ref="H85:I85"/>
    <mergeCell ref="A86:E86"/>
    <mergeCell ref="H86:I86"/>
    <mergeCell ref="A87:E87"/>
    <mergeCell ref="H87:I87"/>
    <mergeCell ref="H96:I96"/>
    <mergeCell ref="J96:K96"/>
    <mergeCell ref="A77:B77"/>
    <mergeCell ref="F77:G77"/>
    <mergeCell ref="H77:I77"/>
    <mergeCell ref="J77:K77"/>
    <mergeCell ref="A78:B78"/>
    <mergeCell ref="F78:G78"/>
    <mergeCell ref="H78:I78"/>
    <mergeCell ref="J78:K78"/>
    <mergeCell ref="F75:G75"/>
    <mergeCell ref="H75:I75"/>
    <mergeCell ref="J75:K75"/>
    <mergeCell ref="A76:B76"/>
    <mergeCell ref="F76:G76"/>
    <mergeCell ref="H76:I76"/>
    <mergeCell ref="J76:K76"/>
    <mergeCell ref="N72:Q72"/>
    <mergeCell ref="J73:K74"/>
    <mergeCell ref="L73:M73"/>
    <mergeCell ref="N73:Q82"/>
    <mergeCell ref="A74:B74"/>
    <mergeCell ref="F74:G74"/>
    <mergeCell ref="H74:I74"/>
    <mergeCell ref="A75:B75"/>
    <mergeCell ref="A81:B81"/>
    <mergeCell ref="F81:G81"/>
    <mergeCell ref="H81:I81"/>
    <mergeCell ref="J81:K81"/>
    <mergeCell ref="A82:B82"/>
    <mergeCell ref="F82:G82"/>
    <mergeCell ref="H82:I82"/>
    <mergeCell ref="J82:K82"/>
    <mergeCell ref="A79:B79"/>
    <mergeCell ref="A62:I62"/>
    <mergeCell ref="J62:M62"/>
    <mergeCell ref="A70:B70"/>
    <mergeCell ref="D70:E70"/>
    <mergeCell ref="F70:G70"/>
    <mergeCell ref="H70:I70"/>
    <mergeCell ref="J70:K70"/>
    <mergeCell ref="A72:I72"/>
    <mergeCell ref="J72:M72"/>
    <mergeCell ref="J68:K68"/>
    <mergeCell ref="A69:B69"/>
    <mergeCell ref="D69:E69"/>
    <mergeCell ref="F69:G69"/>
    <mergeCell ref="H69:I69"/>
    <mergeCell ref="J69:K69"/>
    <mergeCell ref="A67:B67"/>
    <mergeCell ref="C67:C69"/>
    <mergeCell ref="D67:E67"/>
    <mergeCell ref="F67:G67"/>
    <mergeCell ref="H67:I67"/>
    <mergeCell ref="J67:K67"/>
    <mergeCell ref="A68:B68"/>
    <mergeCell ref="D68:E68"/>
    <mergeCell ref="F68:G68"/>
    <mergeCell ref="H68:I68"/>
    <mergeCell ref="N62:Q62"/>
    <mergeCell ref="J63:K64"/>
    <mergeCell ref="L63:M63"/>
    <mergeCell ref="N63:Q70"/>
    <mergeCell ref="A64:B64"/>
    <mergeCell ref="D64:E64"/>
    <mergeCell ref="A53:B53"/>
    <mergeCell ref="A54:B54"/>
    <mergeCell ref="A55:B55"/>
    <mergeCell ref="A56:B56"/>
    <mergeCell ref="A57:B57"/>
    <mergeCell ref="A58:B58"/>
    <mergeCell ref="A47:B47"/>
    <mergeCell ref="A48:B48"/>
    <mergeCell ref="A49:B49"/>
    <mergeCell ref="A50:B50"/>
    <mergeCell ref="A51:B51"/>
    <mergeCell ref="A52:B52"/>
    <mergeCell ref="J65:K65"/>
    <mergeCell ref="A66:B66"/>
    <mergeCell ref="D66:E66"/>
    <mergeCell ref="F66:G66"/>
    <mergeCell ref="H66:I66"/>
    <mergeCell ref="J66:K66"/>
    <mergeCell ref="F64:G64"/>
    <mergeCell ref="H64:I64"/>
    <mergeCell ref="A65:B65"/>
    <mergeCell ref="C65:C66"/>
    <mergeCell ref="D65:E65"/>
    <mergeCell ref="F65:G65"/>
    <mergeCell ref="H65:I65"/>
    <mergeCell ref="A59:B59"/>
    <mergeCell ref="I32:K32"/>
    <mergeCell ref="L32:M32"/>
    <mergeCell ref="N32:Q60"/>
    <mergeCell ref="A33:B34"/>
    <mergeCell ref="C33:C34"/>
    <mergeCell ref="D33:D34"/>
    <mergeCell ref="A25:G25"/>
    <mergeCell ref="J25:K25"/>
    <mergeCell ref="A27:G27"/>
    <mergeCell ref="J27:K27"/>
    <mergeCell ref="A26:G26"/>
    <mergeCell ref="J26:K26"/>
    <mergeCell ref="A38:B38"/>
    <mergeCell ref="A39:B39"/>
    <mergeCell ref="A40:B40"/>
    <mergeCell ref="A41:B41"/>
    <mergeCell ref="A45:B45"/>
    <mergeCell ref="A46:B46"/>
    <mergeCell ref="M33:M34"/>
    <mergeCell ref="A35:B35"/>
    <mergeCell ref="K35:K37"/>
    <mergeCell ref="A36:B36"/>
    <mergeCell ref="A37:B37"/>
    <mergeCell ref="E33:E34"/>
    <mergeCell ref="F33:H33"/>
    <mergeCell ref="I33:I34"/>
    <mergeCell ref="J33:J34"/>
    <mergeCell ref="K33:K34"/>
    <mergeCell ref="L33:L34"/>
    <mergeCell ref="A60:B60"/>
    <mergeCell ref="A24:G24"/>
    <mergeCell ref="J24:K24"/>
    <mergeCell ref="A20:G20"/>
    <mergeCell ref="A21:G21"/>
    <mergeCell ref="A23:G23"/>
    <mergeCell ref="A22:G22"/>
    <mergeCell ref="B15:G15"/>
    <mergeCell ref="H15:I15"/>
    <mergeCell ref="B16:G16"/>
    <mergeCell ref="H16:I16"/>
    <mergeCell ref="B18:G18"/>
    <mergeCell ref="H18:I18"/>
    <mergeCell ref="B17:G17"/>
    <mergeCell ref="H17:I17"/>
    <mergeCell ref="A19:G19"/>
    <mergeCell ref="A29:Q29"/>
    <mergeCell ref="A31:H31"/>
    <mergeCell ref="I31:M31"/>
    <mergeCell ref="N31:Q31"/>
    <mergeCell ref="B12:G12"/>
    <mergeCell ref="H12:I12"/>
    <mergeCell ref="B13:G13"/>
    <mergeCell ref="H13:I13"/>
    <mergeCell ref="B14:G14"/>
    <mergeCell ref="H14:I14"/>
    <mergeCell ref="B9:G9"/>
    <mergeCell ref="H9:I9"/>
    <mergeCell ref="B10:G10"/>
    <mergeCell ref="H10:I10"/>
    <mergeCell ref="B11:G11"/>
    <mergeCell ref="H11:I11"/>
    <mergeCell ref="A1:I1"/>
    <mergeCell ref="A2:I2"/>
    <mergeCell ref="H3:I3"/>
    <mergeCell ref="A4:A5"/>
    <mergeCell ref="B4:B5"/>
    <mergeCell ref="A7:I7"/>
  </mergeCells>
  <conditionalFormatting sqref="H14:I14">
    <cfRule type="cellIs" dxfId="169" priority="102" operator="notEqual">
      <formula>$H$9</formula>
    </cfRule>
  </conditionalFormatting>
  <conditionalFormatting sqref="H70:I70 M70">
    <cfRule type="cellIs" dxfId="168" priority="101" operator="greaterThan">
      <formula>$C$70</formula>
    </cfRule>
  </conditionalFormatting>
  <conditionalFormatting sqref="M60">
    <cfRule type="cellIs" dxfId="167" priority="100" operator="greaterThan">
      <formula>$K$60</formula>
    </cfRule>
  </conditionalFormatting>
  <conditionalFormatting sqref="M98">
    <cfRule type="cellIs" dxfId="166" priority="99" operator="greaterThan">
      <formula>$F$98</formula>
    </cfRule>
  </conditionalFormatting>
  <conditionalFormatting sqref="I132:J132">
    <cfRule type="cellIs" dxfId="165" priority="98" operator="greaterThan">
      <formula>$D$132</formula>
    </cfRule>
  </conditionalFormatting>
  <conditionalFormatting sqref="N132">
    <cfRule type="cellIs" dxfId="164" priority="97" operator="greaterThan">
      <formula>$D$132</formula>
    </cfRule>
  </conditionalFormatting>
  <conditionalFormatting sqref="I155:J155 M155">
    <cfRule type="cellIs" dxfId="163" priority="96" operator="greaterThan">
      <formula>$D$155</formula>
    </cfRule>
  </conditionalFormatting>
  <conditionalFormatting sqref="I147:J147">
    <cfRule type="cellIs" dxfId="162" priority="95" operator="greaterThan">
      <formula>$D$147</formula>
    </cfRule>
  </conditionalFormatting>
  <conditionalFormatting sqref="I148:J148">
    <cfRule type="cellIs" dxfId="161" priority="94" operator="greaterThan">
      <formula>$D$148</formula>
    </cfRule>
  </conditionalFormatting>
  <conditionalFormatting sqref="I149:J149">
    <cfRule type="cellIs" dxfId="160" priority="93" operator="greaterThan">
      <formula>$D$149</formula>
    </cfRule>
  </conditionalFormatting>
  <conditionalFormatting sqref="I152:J152">
    <cfRule type="cellIs" dxfId="159" priority="92" operator="greaterThan">
      <formula>$D$152</formula>
    </cfRule>
  </conditionalFormatting>
  <conditionalFormatting sqref="H162:I162 M160:M162">
    <cfRule type="cellIs" dxfId="158" priority="91" operator="greaterThan">
      <formula>$D$162</formula>
    </cfRule>
  </conditionalFormatting>
  <conditionalFormatting sqref="H163:I163 M163">
    <cfRule type="cellIs" dxfId="157" priority="90" operator="greaterThan">
      <formula>$D$163</formula>
    </cfRule>
  </conditionalFormatting>
  <conditionalFormatting sqref="H171:I171">
    <cfRule type="cellIs" dxfId="156" priority="89" operator="greaterThan">
      <formula>$E$171</formula>
    </cfRule>
  </conditionalFormatting>
  <conditionalFormatting sqref="H175:I175">
    <cfRule type="cellIs" dxfId="155" priority="88" operator="greaterThan">
      <formula>$E$175</formula>
    </cfRule>
  </conditionalFormatting>
  <conditionalFormatting sqref="H190:I190">
    <cfRule type="cellIs" dxfId="154" priority="87" operator="greaterThan">
      <formula>$D$190</formula>
    </cfRule>
  </conditionalFormatting>
  <conditionalFormatting sqref="H193:I193">
    <cfRule type="cellIs" dxfId="153" priority="86" operator="greaterThan">
      <formula>$D$193</formula>
    </cfRule>
  </conditionalFormatting>
  <conditionalFormatting sqref="H195">
    <cfRule type="cellIs" dxfId="152" priority="85" operator="greaterThan">
      <formula>$D$195</formula>
    </cfRule>
  </conditionalFormatting>
  <conditionalFormatting sqref="G258:I258 M258">
    <cfRule type="cellIs" dxfId="151" priority="84" operator="greaterThan">
      <formula>$B$258</formula>
    </cfRule>
  </conditionalFormatting>
  <conditionalFormatting sqref="H337:I337">
    <cfRule type="cellIs" dxfId="150" priority="81" operator="greaterThan">
      <formula>$E$337</formula>
    </cfRule>
    <cfRule type="cellIs" dxfId="149" priority="83" operator="greaterThan">
      <formula>120000</formula>
    </cfRule>
  </conditionalFormatting>
  <conditionalFormatting sqref="C337:D337">
    <cfRule type="expression" dxfId="148" priority="41">
      <formula>SUM($B$337:$D$337)&gt;$B$162</formula>
    </cfRule>
    <cfRule type="expression" dxfId="147" priority="82">
      <formula>SUM($B$337:$D$337)&gt;2</formula>
    </cfRule>
  </conditionalFormatting>
  <conditionalFormatting sqref="L337:M337">
    <cfRule type="cellIs" dxfId="146" priority="80" operator="greaterThan">
      <formula>$E$337</formula>
    </cfRule>
  </conditionalFormatting>
  <conditionalFormatting sqref="H338:I338 H319:I328 L319:M330">
    <cfRule type="cellIs" dxfId="145" priority="79" operator="greaterThan">
      <formula>$E$338</formula>
    </cfRule>
  </conditionalFormatting>
  <conditionalFormatting sqref="L338:M338">
    <cfRule type="cellIs" dxfId="144" priority="78" operator="greaterThan">
      <formula>$E$338</formula>
    </cfRule>
  </conditionalFormatting>
  <conditionalFormatting sqref="L339:M339">
    <cfRule type="cellIs" dxfId="143" priority="77" operator="greaterThan">
      <formula>$E$339</formula>
    </cfRule>
  </conditionalFormatting>
  <conditionalFormatting sqref="C340:D340">
    <cfRule type="expression" dxfId="142" priority="76">
      <formula>SUM($B$340+$C$340)&gt;1</formula>
    </cfRule>
  </conditionalFormatting>
  <conditionalFormatting sqref="H340:I340">
    <cfRule type="cellIs" dxfId="141" priority="75" operator="greaterThan">
      <formula>$E$340</formula>
    </cfRule>
  </conditionalFormatting>
  <conditionalFormatting sqref="L340:M340">
    <cfRule type="cellIs" dxfId="140" priority="74" operator="greaterThan">
      <formula>$E$340</formula>
    </cfRule>
  </conditionalFormatting>
  <conditionalFormatting sqref="C341:D341">
    <cfRule type="expression" dxfId="139" priority="73">
      <formula>SUM($B$341+$C$341)&gt;1</formula>
    </cfRule>
  </conditionalFormatting>
  <conditionalFormatting sqref="H341:I341">
    <cfRule type="cellIs" dxfId="138" priority="72" operator="greaterThan">
      <formula>$E$341</formula>
    </cfRule>
  </conditionalFormatting>
  <conditionalFormatting sqref="L341:M341">
    <cfRule type="cellIs" dxfId="137" priority="71" operator="greaterThan">
      <formula>$E$341</formula>
    </cfRule>
  </conditionalFormatting>
  <conditionalFormatting sqref="H342:I342">
    <cfRule type="cellIs" dxfId="136" priority="70" operator="greaterThan">
      <formula>$E$342</formula>
    </cfRule>
  </conditionalFormatting>
  <conditionalFormatting sqref="L342:M342">
    <cfRule type="cellIs" dxfId="135" priority="69" operator="greaterThan">
      <formula>$E$342</formula>
    </cfRule>
  </conditionalFormatting>
  <conditionalFormatting sqref="C343:D343">
    <cfRule type="expression" dxfId="134" priority="68">
      <formula>SUM($B$343+$C$343)&gt;1</formula>
    </cfRule>
  </conditionalFormatting>
  <conditionalFormatting sqref="H343:I343">
    <cfRule type="cellIs" dxfId="133" priority="67" operator="greaterThan">
      <formula>$E$343</formula>
    </cfRule>
  </conditionalFormatting>
  <conditionalFormatting sqref="L343:M343">
    <cfRule type="cellIs" dxfId="132" priority="66" operator="greaterThan">
      <formula>$E$343</formula>
    </cfRule>
  </conditionalFormatting>
  <conditionalFormatting sqref="C344:D344">
    <cfRule type="expression" dxfId="131" priority="65">
      <formula>SUM($B$344+$C$344)&gt;1</formula>
    </cfRule>
  </conditionalFormatting>
  <conditionalFormatting sqref="H344:I344">
    <cfRule type="cellIs" dxfId="130" priority="64" operator="greaterThan">
      <formula>$E$344</formula>
    </cfRule>
  </conditionalFormatting>
  <conditionalFormatting sqref="L344:M344">
    <cfRule type="cellIs" dxfId="129" priority="63" operator="greaterThan">
      <formula>$E$344</formula>
    </cfRule>
  </conditionalFormatting>
  <conditionalFormatting sqref="C339:D339">
    <cfRule type="expression" dxfId="128" priority="62">
      <formula>SUM($B$339+$C$339)&gt;$H$25</formula>
    </cfRule>
  </conditionalFormatting>
  <conditionalFormatting sqref="H339:I339">
    <cfRule type="cellIs" dxfId="127" priority="61" operator="greaterThan">
      <formula>$E$339</formula>
    </cfRule>
  </conditionalFormatting>
  <conditionalFormatting sqref="C338:D338">
    <cfRule type="expression" dxfId="126" priority="60">
      <formula>SUM($B$338+$C$338)&gt;$H$27</formula>
    </cfRule>
  </conditionalFormatting>
  <conditionalFormatting sqref="C345:D347">
    <cfRule type="expression" dxfId="125" priority="59">
      <formula>SUM($B$345+$C$345)&gt;$B$149</formula>
    </cfRule>
  </conditionalFormatting>
  <conditionalFormatting sqref="H345:I345">
    <cfRule type="cellIs" dxfId="124" priority="58" operator="greaterThan">
      <formula>$E$345</formula>
    </cfRule>
  </conditionalFormatting>
  <conditionalFormatting sqref="L345:M345">
    <cfRule type="cellIs" dxfId="123" priority="57" operator="greaterThan">
      <formula>$E$345</formula>
    </cfRule>
  </conditionalFormatting>
  <conditionalFormatting sqref="H346:I347">
    <cfRule type="cellIs" dxfId="122" priority="56" operator="greaterThan">
      <formula>$E$345</formula>
    </cfRule>
  </conditionalFormatting>
  <conditionalFormatting sqref="L346:M347">
    <cfRule type="cellIs" dxfId="121" priority="55" operator="greaterThan">
      <formula>$E$345</formula>
    </cfRule>
  </conditionalFormatting>
  <conditionalFormatting sqref="G250:I255">
    <cfRule type="expression" dxfId="120" priority="54">
      <formula>SUM($G$250:$I$255)&gt;$B$250</formula>
    </cfRule>
  </conditionalFormatting>
  <conditionalFormatting sqref="G256:I256">
    <cfRule type="cellIs" dxfId="119" priority="53" operator="greaterThan">
      <formula>$B$256</formula>
    </cfRule>
  </conditionalFormatting>
  <conditionalFormatting sqref="G257:I257">
    <cfRule type="cellIs" dxfId="118" priority="52" operator="greaterThan">
      <formula>$B$257</formula>
    </cfRule>
  </conditionalFormatting>
  <conditionalFormatting sqref="H233:I233">
    <cfRule type="cellIs" dxfId="117" priority="51" operator="greaterThan">
      <formula>$D$233</formula>
    </cfRule>
  </conditionalFormatting>
  <conditionalFormatting sqref="I55">
    <cfRule type="expression" dxfId="116" priority="50">
      <formula>SUM($D$55:$E$55)&gt;1</formula>
    </cfRule>
  </conditionalFormatting>
  <conditionalFormatting sqref="C163">
    <cfRule type="expression" dxfId="115" priority="49">
      <formula>SUM($C$163,$C$148)&gt;$B$148</formula>
    </cfRule>
  </conditionalFormatting>
  <conditionalFormatting sqref="H164:I165">
    <cfRule type="cellIs" dxfId="114" priority="48" operator="greaterThan">
      <formula>$D$163</formula>
    </cfRule>
  </conditionalFormatting>
  <conditionalFormatting sqref="M164:M165">
    <cfRule type="cellIs" dxfId="113" priority="47" operator="greaterThan">
      <formula>$D$163</formula>
    </cfRule>
  </conditionalFormatting>
  <conditionalFormatting sqref="C162">
    <cfRule type="expression" dxfId="112" priority="46">
      <formula>SUM($C$147,$C$162)&gt;$B$147</formula>
    </cfRule>
  </conditionalFormatting>
  <conditionalFormatting sqref="H164:I164">
    <cfRule type="cellIs" dxfId="111" priority="45" operator="greaterThan">
      <formula>$D$164</formula>
    </cfRule>
  </conditionalFormatting>
  <conditionalFormatting sqref="H165:I165">
    <cfRule type="cellIs" dxfId="110" priority="44" operator="greaterThan">
      <formula>$D$165</formula>
    </cfRule>
  </conditionalFormatting>
  <conditionalFormatting sqref="M166">
    <cfRule type="cellIs" dxfId="109" priority="43" operator="greaterThan">
      <formula>$D$166</formula>
    </cfRule>
  </conditionalFormatting>
  <conditionalFormatting sqref="C304:D304">
    <cfRule type="expression" dxfId="108" priority="42">
      <formula>SUM($B$304:$D$304)&gt;($C$149+$C$152)</formula>
    </cfRule>
  </conditionalFormatting>
  <conditionalFormatting sqref="C342:D342">
    <cfRule type="cellIs" dxfId="107" priority="40" operator="greaterThan">
      <formula>$A$311</formula>
    </cfRule>
  </conditionalFormatting>
  <conditionalFormatting sqref="H196:H201">
    <cfRule type="cellIs" dxfId="106" priority="39" operator="greaterThan">
      <formula>$D$195</formula>
    </cfRule>
  </conditionalFormatting>
  <conditionalFormatting sqref="F42">
    <cfRule type="cellIs" dxfId="105" priority="38" operator="greaterThan">
      <formula>$I$36</formula>
    </cfRule>
  </conditionalFormatting>
  <conditionalFormatting sqref="G42">
    <cfRule type="cellIs" dxfId="104" priority="37" operator="greaterThan">
      <formula>$J$36</formula>
    </cfRule>
  </conditionalFormatting>
  <conditionalFormatting sqref="F43">
    <cfRule type="cellIs" dxfId="103" priority="36" operator="greaterThan">
      <formula>$I$37</formula>
    </cfRule>
  </conditionalFormatting>
  <conditionalFormatting sqref="G43">
    <cfRule type="cellIs" dxfId="102" priority="35" operator="greaterThan">
      <formula>$J$37</formula>
    </cfRule>
  </conditionalFormatting>
  <conditionalFormatting sqref="F44">
    <cfRule type="cellIs" dxfId="101" priority="34" operator="greaterThan">
      <formula>$I$38</formula>
    </cfRule>
  </conditionalFormatting>
  <conditionalFormatting sqref="G44">
    <cfRule type="cellIs" dxfId="100" priority="33" operator="greaterThan">
      <formula>$J$38</formula>
    </cfRule>
  </conditionalFormatting>
  <conditionalFormatting sqref="M97">
    <cfRule type="cellIs" dxfId="99" priority="32" operator="greaterThan">
      <formula>$F$97</formula>
    </cfRule>
  </conditionalFormatting>
  <conditionalFormatting sqref="M99">
    <cfRule type="cellIs" dxfId="98" priority="31" operator="greaterThan">
      <formula>$F$99</formula>
    </cfRule>
  </conditionalFormatting>
  <conditionalFormatting sqref="N138:N140 I138:J139 J140">
    <cfRule type="cellIs" dxfId="97" priority="103" operator="greaterThan">
      <formula>$B$138</formula>
    </cfRule>
  </conditionalFormatting>
  <conditionalFormatting sqref="I145:J146">
    <cfRule type="cellIs" dxfId="96" priority="29" operator="greaterThan">
      <formula>$D$147</formula>
    </cfRule>
  </conditionalFormatting>
  <conditionalFormatting sqref="H160:I161">
    <cfRule type="cellIs" dxfId="95" priority="28" operator="greaterThan">
      <formula>$D$162</formula>
    </cfRule>
  </conditionalFormatting>
  <conditionalFormatting sqref="C160:C161">
    <cfRule type="expression" dxfId="94" priority="27">
      <formula>SUM($C$147,$C$162)&gt;$B$147</formula>
    </cfRule>
  </conditionalFormatting>
  <conditionalFormatting sqref="C160">
    <cfRule type="cellIs" dxfId="93" priority="26" operator="greaterThan">
      <formula>$B$160</formula>
    </cfRule>
  </conditionalFormatting>
  <conditionalFormatting sqref="C145">
    <cfRule type="cellIs" dxfId="92" priority="25" operator="greaterThan">
      <formula>$B$145</formula>
    </cfRule>
  </conditionalFormatting>
  <conditionalFormatting sqref="C161">
    <cfRule type="cellIs" dxfId="91" priority="24" operator="greaterThan">
      <formula>$B$161</formula>
    </cfRule>
  </conditionalFormatting>
  <conditionalFormatting sqref="H172:I172">
    <cfRule type="cellIs" dxfId="90" priority="23" operator="greaterThan">
      <formula>$E$171</formula>
    </cfRule>
  </conditionalFormatting>
  <conditionalFormatting sqref="D172">
    <cfRule type="expression" dxfId="89" priority="22">
      <formula>SUM($C$172:$D$172)&gt;$B$172</formula>
    </cfRule>
  </conditionalFormatting>
  <conditionalFormatting sqref="H234:I234">
    <cfRule type="cellIs" dxfId="88" priority="21" operator="greaterThan">
      <formula>$D$233</formula>
    </cfRule>
  </conditionalFormatting>
  <conditionalFormatting sqref="M234">
    <cfRule type="cellIs" dxfId="87" priority="20" operator="greaterThan">
      <formula>$D$233</formula>
    </cfRule>
  </conditionalFormatting>
  <conditionalFormatting sqref="H237:I237">
    <cfRule type="cellIs" dxfId="86" priority="19" operator="greaterThan">
      <formula>$D$233</formula>
    </cfRule>
  </conditionalFormatting>
  <conditionalFormatting sqref="M237">
    <cfRule type="cellIs" dxfId="85" priority="18" operator="greaterThan">
      <formula>$D$233</formula>
    </cfRule>
  </conditionalFormatting>
  <conditionalFormatting sqref="G244:I244 G248:I248">
    <cfRule type="expression" dxfId="84" priority="17">
      <formula>SUM($G$250:$I$255)&gt;$B$250</formula>
    </cfRule>
  </conditionalFormatting>
  <conditionalFormatting sqref="G245:I247">
    <cfRule type="expression" dxfId="83" priority="16">
      <formula>SUM($G$250:$I$255)&gt;$B$250</formula>
    </cfRule>
  </conditionalFormatting>
  <conditionalFormatting sqref="H270:H271 M270:M272">
    <cfRule type="cellIs" dxfId="82" priority="104" operator="greaterThan">
      <formula>$B$271</formula>
    </cfRule>
  </conditionalFormatting>
  <conditionalFormatting sqref="H281:I281">
    <cfRule type="cellIs" dxfId="81" priority="15" operator="notEqual">
      <formula>$H$280</formula>
    </cfRule>
  </conditionalFormatting>
  <conditionalFormatting sqref="H299:I299">
    <cfRule type="cellIs" dxfId="80" priority="14" operator="greaterThan">
      <formula>$E$299</formula>
    </cfRule>
  </conditionalFormatting>
  <conditionalFormatting sqref="L299:M299">
    <cfRule type="cellIs" dxfId="79" priority="13" operator="greaterThan">
      <formula>$E$299</formula>
    </cfRule>
  </conditionalFormatting>
  <conditionalFormatting sqref="H300:I300">
    <cfRule type="cellIs" dxfId="78" priority="12" operator="greaterThan">
      <formula>$E$299</formula>
    </cfRule>
  </conditionalFormatting>
  <conditionalFormatting sqref="L300:M300">
    <cfRule type="cellIs" dxfId="77" priority="11" operator="greaterThan">
      <formula>$E$299</formula>
    </cfRule>
  </conditionalFormatting>
  <conditionalFormatting sqref="H315:I317">
    <cfRule type="cellIs" dxfId="76" priority="10" operator="greaterThan">
      <formula>$E$338</formula>
    </cfRule>
  </conditionalFormatting>
  <conditionalFormatting sqref="L315:M317">
    <cfRule type="cellIs" dxfId="75" priority="9" operator="greaterThan">
      <formula>$E$338</formula>
    </cfRule>
  </conditionalFormatting>
  <conditionalFormatting sqref="C315:D317 C319:D328">
    <cfRule type="expression" dxfId="74" priority="105">
      <formula>SUM($B$338+$C$338)&gt;$H$27</formula>
    </cfRule>
  </conditionalFormatting>
  <conditionalFormatting sqref="H329:I330">
    <cfRule type="cellIs" dxfId="73" priority="7" operator="greaterThan">
      <formula>$E$338</formula>
    </cfRule>
  </conditionalFormatting>
  <conditionalFormatting sqref="C329:D330">
    <cfRule type="expression" dxfId="72" priority="8">
      <formula>SUM($B$338+$C$338)&gt;$H$27</formula>
    </cfRule>
  </conditionalFormatting>
  <conditionalFormatting sqref="M96">
    <cfRule type="cellIs" dxfId="71" priority="6" operator="greaterThan">
      <formula>$F$97</formula>
    </cfRule>
  </conditionalFormatting>
  <conditionalFormatting sqref="H192:I192">
    <cfRule type="cellIs" dxfId="70" priority="5" operator="greaterThan">
      <formula>$D$193</formula>
    </cfRule>
  </conditionalFormatting>
  <conditionalFormatting sqref="H235:I236">
    <cfRule type="cellIs" dxfId="69" priority="4" operator="greaterThan">
      <formula>$D$233</formula>
    </cfRule>
  </conditionalFormatting>
  <conditionalFormatting sqref="M235:M236">
    <cfRule type="cellIs" dxfId="68" priority="3" operator="greaterThan">
      <formula>$D$233</formula>
    </cfRule>
  </conditionalFormatting>
  <conditionalFormatting sqref="H140:I140">
    <cfRule type="cellIs" dxfId="67" priority="2" operator="greaterThan">
      <formula>$B$138</formula>
    </cfRule>
  </conditionalFormatting>
  <conditionalFormatting sqref="H139">
    <cfRule type="cellIs" dxfId="66" priority="1" operator="greaterThan">
      <formula>$B$138</formula>
    </cfRule>
  </conditionalFormatting>
  <dataValidations count="14">
    <dataValidation type="list" allowBlank="1" showInputMessage="1" showErrorMessage="1" sqref="B42:B44">
      <formula1>"None,Solid,Liquid,LPA,Solid+LPA,Solid+Liquid+LPA,Solid+Liquid,Liquid+LPA"</formula1>
    </dataValidation>
    <dataValidation type="list" allowBlank="1" showInputMessage="1" showErrorMessage="1" sqref="D3">
      <formula1>"1, 1.3"</formula1>
    </dataValidation>
    <dataValidation type="whole" operator="greaterThanOrEqual" allowBlank="1" showInputMessage="1" showErrorMessage="1" sqref="D54:K54 M195:M201 M47:M59 D55:G59 C195:C201 F195:G201 D45:K45 D41:G41 D46:G46">
      <formula1>0</formula1>
    </dataValidation>
    <dataValidation type="list" allowBlank="1" showInputMessage="1" showErrorMessage="1" sqref="B6">
      <formula1>"Tribal,Urban,Rural"</formula1>
    </dataValidation>
    <dataValidation allowBlank="1" showInputMessage="1" showErrorMessage="1" promptTitle="Norms" prompt="Non-salaried dot provider / community volunteers / govt staff without provision of TA, to be provided an aggregate amount of Rs. 15 per patient (maximum Rs. 1000 per month) for sputum sample transportation non-DMC PHI to DMC" sqref="H353:I353"/>
    <dataValidation allowBlank="1" showInputMessage="1" showErrorMessage="1" promptTitle="Norms" prompt="As per the MoU or arrangement approved by DHS/SHS" sqref="H354:I354"/>
    <dataValidation type="whole" allowBlank="1" showInputMessage="1" showErrorMessage="1" sqref="H3:I3">
      <formula1>1</formula1>
      <formula2>200</formula2>
    </dataValidation>
    <dataValidation type="whole" allowBlank="1" showInputMessage="1" showErrorMessage="1" sqref="D5:I5">
      <formula1>0</formula1>
      <formula2>200</formula2>
    </dataValidation>
    <dataValidation type="whole" allowBlank="1" showInputMessage="1" showErrorMessage="1" sqref="H18:I18">
      <formula1>0</formula1>
      <formula2>1000</formula2>
    </dataValidation>
    <dataValidation type="whole" allowBlank="1" showInputMessage="1" showErrorMessage="1" sqref="H20:I27">
      <formula1>0</formula1>
      <formula2>5000</formula2>
    </dataValidation>
    <dataValidation type="whole" allowBlank="1" showInputMessage="1" showErrorMessage="1" sqref="H9:I17">
      <formula1>0</formula1>
      <formula2>10000</formula2>
    </dataValidation>
    <dataValidation type="whole" allowBlank="1" showInputMessage="1" showErrorMessage="1" sqref="C35:J40">
      <formula1>0</formula1>
      <formula2>10000000000</formula2>
    </dataValidation>
    <dataValidation type="whole" allowBlank="1" showInputMessage="1" showErrorMessage="1" sqref="C42:G44">
      <formula1>0</formula1>
      <formula2>100000000000000</formula2>
    </dataValidation>
    <dataValidation type="whole" allowBlank="1" showInputMessage="1" showErrorMessage="1" sqref="C47:J53">
      <formula1>0</formula1>
      <formula2>1000000000000000</formula2>
    </dataValidation>
  </dataValidations>
  <pageMargins left="0.7" right="0.7" top="0.75" bottom="0.75" header="0.3" footer="0.3"/>
  <pageSetup paperSize="9" orientation="portrait" horizontalDpi="300" verticalDpi="300" r:id="rId1"/>
  <legacyDrawing r:id="rId2"/>
  <extLst>
    <ext xmlns:x14="http://schemas.microsoft.com/office/spreadsheetml/2009/9/main" uri="{CCE6A557-97BC-4b89-ADB6-D9C93CAAB3DF}">
      <x14:dataValidations xmlns:xm="http://schemas.microsoft.com/office/excel/2006/main" count="2">
        <x14:dataValidation type="list" operator="greaterThanOrEqual" showInputMessage="1" showErrorMessage="1">
          <x14:formula1>
            <xm:f>List!$B$1:$B$35</xm:f>
          </x14:formula1>
          <xm:sqref>B3</xm:sqref>
        </x14:dataValidation>
        <x14:dataValidation type="list" showInputMessage="1" showErrorMessage="1">
          <x14:formula1>
            <xm:f>List!$A$1:$A$4</xm:f>
          </x14:formula1>
          <xm:sqref>B4:B5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workbookViewId="0">
      <selection activeCell="E3" sqref="E3"/>
    </sheetView>
  </sheetViews>
  <sheetFormatPr defaultRowHeight="15" x14ac:dyDescent="0.25"/>
  <cols>
    <col min="2" max="2" width="15" customWidth="1"/>
    <col min="3" max="8" width="13.85546875" customWidth="1"/>
  </cols>
  <sheetData>
    <row r="1" spans="1:13" ht="15.75" x14ac:dyDescent="0.25">
      <c r="D1" s="1499" t="s">
        <v>213</v>
      </c>
      <c r="E1" s="1499"/>
      <c r="F1" s="1499" t="s">
        <v>282</v>
      </c>
      <c r="G1" s="1499"/>
      <c r="H1" s="1499"/>
      <c r="I1" t="s">
        <v>274</v>
      </c>
    </row>
    <row r="2" spans="1:13" s="70" customFormat="1" ht="51" x14ac:dyDescent="0.25">
      <c r="A2" s="157" t="s">
        <v>0</v>
      </c>
      <c r="B2" s="1500" t="s">
        <v>1</v>
      </c>
      <c r="C2" s="1610"/>
      <c r="D2" s="157" t="s">
        <v>42</v>
      </c>
      <c r="E2" s="157" t="s">
        <v>215</v>
      </c>
      <c r="F2" s="157" t="s">
        <v>42</v>
      </c>
      <c r="G2" s="184" t="s">
        <v>216</v>
      </c>
      <c r="H2" s="157" t="s">
        <v>217</v>
      </c>
      <c r="I2" s="173" t="s">
        <v>269</v>
      </c>
      <c r="J2" s="173" t="s">
        <v>270</v>
      </c>
      <c r="K2" s="173" t="s">
        <v>271</v>
      </c>
      <c r="L2" s="173" t="s">
        <v>272</v>
      </c>
      <c r="M2" s="173" t="s">
        <v>273</v>
      </c>
    </row>
    <row r="3" spans="1:13" ht="15.75" x14ac:dyDescent="0.25">
      <c r="A3" s="1">
        <v>1</v>
      </c>
      <c r="B3" s="1506" t="s">
        <v>3</v>
      </c>
      <c r="C3" s="1609"/>
      <c r="D3" s="183"/>
      <c r="E3" s="183"/>
      <c r="F3" s="183"/>
      <c r="G3" s="183"/>
      <c r="H3" s="183"/>
      <c r="I3" s="170"/>
      <c r="J3" s="170"/>
      <c r="K3" s="170"/>
      <c r="L3" s="170"/>
      <c r="M3" s="170"/>
    </row>
    <row r="4" spans="1:13" ht="15.75" x14ac:dyDescent="0.25">
      <c r="A4" s="1">
        <v>2</v>
      </c>
      <c r="B4" s="1506" t="s">
        <v>4</v>
      </c>
      <c r="C4" s="1609"/>
      <c r="D4" s="183"/>
      <c r="E4" s="183"/>
      <c r="F4" s="183"/>
      <c r="G4" s="183"/>
      <c r="H4" s="183"/>
      <c r="I4" s="170"/>
      <c r="J4" s="170"/>
      <c r="K4" s="170"/>
      <c r="L4" s="170"/>
      <c r="M4" s="170"/>
    </row>
    <row r="5" spans="1:13" ht="15.75" x14ac:dyDescent="0.25">
      <c r="A5" s="1">
        <v>3</v>
      </c>
      <c r="B5" s="1506" t="s">
        <v>5</v>
      </c>
      <c r="C5" s="1609"/>
      <c r="D5" s="183"/>
      <c r="E5" s="183"/>
      <c r="F5" s="183"/>
      <c r="G5" s="183"/>
      <c r="H5" s="183"/>
      <c r="I5" s="170"/>
      <c r="J5" s="170"/>
      <c r="K5" s="170"/>
      <c r="L5" s="170"/>
      <c r="M5" s="170"/>
    </row>
    <row r="6" spans="1:13" ht="15.75" x14ac:dyDescent="0.25">
      <c r="A6" s="1">
        <v>4</v>
      </c>
      <c r="B6" s="1506" t="s">
        <v>6</v>
      </c>
      <c r="C6" s="1609"/>
      <c r="D6" s="183"/>
      <c r="E6" s="183"/>
      <c r="F6" s="183"/>
      <c r="G6" s="183"/>
      <c r="H6" s="183"/>
      <c r="I6" s="170"/>
      <c r="J6" s="170"/>
      <c r="K6" s="170"/>
      <c r="L6" s="170"/>
      <c r="M6" s="170"/>
    </row>
    <row r="7" spans="1:13" ht="15.75" x14ac:dyDescent="0.25">
      <c r="A7" s="1">
        <v>5</v>
      </c>
      <c r="B7" s="1506" t="s">
        <v>7</v>
      </c>
      <c r="C7" s="1609"/>
      <c r="D7" s="183"/>
      <c r="E7" s="183"/>
      <c r="F7" s="183"/>
      <c r="G7" s="183"/>
      <c r="H7" s="183"/>
      <c r="I7" s="170"/>
      <c r="J7" s="170"/>
      <c r="K7" s="170"/>
      <c r="L7" s="170"/>
      <c r="M7" s="170"/>
    </row>
    <row r="8" spans="1:13" ht="15.75" x14ac:dyDescent="0.25">
      <c r="A8" s="1">
        <v>6</v>
      </c>
      <c r="B8" s="1506" t="s">
        <v>8</v>
      </c>
      <c r="C8" s="1609"/>
      <c r="D8" s="183"/>
      <c r="E8" s="183"/>
      <c r="F8" s="183"/>
      <c r="G8" s="183"/>
      <c r="H8" s="183"/>
      <c r="I8" s="170"/>
      <c r="J8" s="170"/>
      <c r="K8" s="170"/>
      <c r="L8" s="170"/>
      <c r="M8" s="170"/>
    </row>
    <row r="9" spans="1:13" ht="15.75" x14ac:dyDescent="0.25">
      <c r="A9" s="1">
        <v>7</v>
      </c>
      <c r="B9" s="1506" t="s">
        <v>9</v>
      </c>
      <c r="C9" s="1609"/>
      <c r="D9" s="183"/>
      <c r="E9" s="183"/>
      <c r="F9" s="183"/>
      <c r="G9" s="183"/>
      <c r="H9" s="183"/>
      <c r="I9" s="170"/>
      <c r="J9" s="170"/>
      <c r="K9" s="170"/>
      <c r="L9" s="170"/>
      <c r="M9" s="170"/>
    </row>
    <row r="10" spans="1:13" ht="15.75" x14ac:dyDescent="0.25">
      <c r="A10" s="1">
        <v>8</v>
      </c>
      <c r="B10" s="1506" t="s">
        <v>10</v>
      </c>
      <c r="C10" s="1609"/>
      <c r="D10" s="183"/>
      <c r="E10" s="183"/>
      <c r="F10" s="183"/>
      <c r="G10" s="183"/>
      <c r="H10" s="183"/>
      <c r="I10" s="170"/>
      <c r="J10" s="170"/>
      <c r="K10" s="170"/>
      <c r="L10" s="170"/>
      <c r="M10" s="170"/>
    </row>
    <row r="11" spans="1:13" ht="15.75" x14ac:dyDescent="0.25">
      <c r="A11" s="1">
        <v>9</v>
      </c>
      <c r="B11" s="1506" t="s">
        <v>11</v>
      </c>
      <c r="C11" s="1609"/>
      <c r="D11" s="183"/>
      <c r="E11" s="183"/>
      <c r="F11" s="183"/>
      <c r="G11" s="183"/>
      <c r="H11" s="183"/>
      <c r="I11" s="170"/>
      <c r="J11" s="170"/>
      <c r="K11" s="170"/>
      <c r="L11" s="170"/>
      <c r="M11" s="170"/>
    </row>
    <row r="12" spans="1:13" ht="15.75" x14ac:dyDescent="0.25">
      <c r="A12" s="1">
        <v>10</v>
      </c>
      <c r="B12" s="1506" t="s">
        <v>12</v>
      </c>
      <c r="C12" s="1609"/>
      <c r="D12" s="183"/>
      <c r="E12" s="183"/>
      <c r="F12" s="183"/>
      <c r="G12" s="183"/>
      <c r="H12" s="183"/>
      <c r="I12" s="170"/>
      <c r="J12" s="170"/>
      <c r="K12" s="170"/>
      <c r="L12" s="170"/>
      <c r="M12" s="170"/>
    </row>
    <row r="13" spans="1:13" ht="15.75" x14ac:dyDescent="0.25">
      <c r="A13" s="1">
        <v>11</v>
      </c>
      <c r="B13" s="1506" t="s">
        <v>13</v>
      </c>
      <c r="C13" s="1609"/>
      <c r="D13" s="183"/>
      <c r="E13" s="183"/>
      <c r="F13" s="183"/>
      <c r="G13" s="183"/>
      <c r="H13" s="183"/>
      <c r="I13" s="170"/>
      <c r="J13" s="170"/>
      <c r="K13" s="170"/>
      <c r="L13" s="170"/>
      <c r="M13" s="170"/>
    </row>
    <row r="14" spans="1:13" ht="15.75" x14ac:dyDescent="0.25">
      <c r="A14" s="1">
        <v>12</v>
      </c>
      <c r="B14" s="1506" t="s">
        <v>14</v>
      </c>
      <c r="C14" s="1609"/>
      <c r="D14" s="183"/>
      <c r="E14" s="183"/>
      <c r="F14" s="183"/>
      <c r="G14" s="183"/>
      <c r="H14" s="183"/>
      <c r="I14" s="170"/>
      <c r="J14" s="170"/>
      <c r="K14" s="170"/>
      <c r="L14" s="170"/>
      <c r="M14" s="170"/>
    </row>
    <row r="15" spans="1:13" ht="15.75" x14ac:dyDescent="0.25">
      <c r="A15" s="1">
        <v>13</v>
      </c>
      <c r="B15" s="1506" t="s">
        <v>15</v>
      </c>
      <c r="C15" s="1609"/>
      <c r="D15" s="183"/>
      <c r="E15" s="183"/>
      <c r="F15" s="183"/>
      <c r="G15" s="183"/>
      <c r="H15" s="183"/>
      <c r="I15" s="170"/>
      <c r="J15" s="170"/>
      <c r="K15" s="170"/>
      <c r="L15" s="170"/>
      <c r="M15" s="170"/>
    </row>
    <row r="16" spans="1:13" ht="15.75" x14ac:dyDescent="0.25">
      <c r="A16" s="1">
        <v>14</v>
      </c>
      <c r="B16" s="1506" t="s">
        <v>16</v>
      </c>
      <c r="C16" s="1609"/>
      <c r="D16" s="183"/>
      <c r="E16" s="183"/>
      <c r="F16" s="183"/>
      <c r="G16" s="183"/>
      <c r="H16" s="183"/>
      <c r="I16" s="170"/>
      <c r="J16" s="170"/>
      <c r="K16" s="170"/>
      <c r="L16" s="170"/>
      <c r="M16" s="170"/>
    </row>
    <row r="17" spans="1:13" ht="15.75" x14ac:dyDescent="0.25">
      <c r="A17" s="180">
        <v>15</v>
      </c>
      <c r="B17" s="1506" t="s">
        <v>275</v>
      </c>
      <c r="C17" s="1506"/>
      <c r="D17" s="2"/>
      <c r="E17" s="2"/>
      <c r="F17" s="2"/>
      <c r="G17" s="2"/>
      <c r="H17" s="2"/>
      <c r="I17" s="170"/>
      <c r="J17" s="170"/>
      <c r="K17" s="170"/>
      <c r="L17" s="170"/>
      <c r="M17" s="170"/>
    </row>
    <row r="18" spans="1:13" ht="15.75" customHeight="1" x14ac:dyDescent="0.25">
      <c r="A18" s="180">
        <v>16</v>
      </c>
      <c r="B18" s="1506" t="s">
        <v>17</v>
      </c>
      <c r="C18" s="1506"/>
      <c r="D18" s="2"/>
      <c r="E18" s="2"/>
      <c r="F18" s="2"/>
      <c r="G18" s="2"/>
      <c r="H18" s="2"/>
      <c r="I18" s="170"/>
      <c r="J18" s="170"/>
      <c r="K18" s="170"/>
      <c r="L18" s="170"/>
      <c r="M18" s="170"/>
    </row>
    <row r="19" spans="1:13" ht="15.75" customHeight="1" x14ac:dyDescent="0.25">
      <c r="A19" s="180">
        <v>17</v>
      </c>
      <c r="B19" s="1506" t="s">
        <v>18</v>
      </c>
      <c r="C19" s="1506"/>
      <c r="D19" s="2"/>
      <c r="E19" s="2"/>
      <c r="F19" s="2"/>
      <c r="G19" s="2"/>
      <c r="H19" s="2"/>
      <c r="I19" s="170"/>
      <c r="J19" s="170"/>
      <c r="K19" s="170"/>
      <c r="L19" s="170"/>
      <c r="M19" s="170"/>
    </row>
    <row r="20" spans="1:13" ht="15.75" customHeight="1" x14ac:dyDescent="0.25">
      <c r="A20" s="180">
        <v>18</v>
      </c>
      <c r="B20" s="1506" t="s">
        <v>19</v>
      </c>
      <c r="C20" s="1506"/>
      <c r="D20" s="2"/>
      <c r="E20" s="2"/>
      <c r="F20" s="2"/>
      <c r="G20" s="2"/>
      <c r="H20" s="2"/>
      <c r="I20" s="170"/>
      <c r="J20" s="170"/>
      <c r="K20" s="170"/>
      <c r="L20" s="170"/>
      <c r="M20" s="170"/>
    </row>
    <row r="21" spans="1:13" ht="15.75" customHeight="1" x14ac:dyDescent="0.25">
      <c r="A21" s="180">
        <v>19</v>
      </c>
      <c r="B21" s="1526" t="s">
        <v>20</v>
      </c>
      <c r="C21" s="1526"/>
      <c r="D21" s="159"/>
      <c r="E21" s="159"/>
      <c r="F21" s="159"/>
      <c r="G21" s="159"/>
      <c r="H21" s="159"/>
      <c r="I21" s="170"/>
      <c r="J21" s="170"/>
      <c r="K21" s="170"/>
      <c r="L21" s="170"/>
      <c r="M21" s="170"/>
    </row>
    <row r="22" spans="1:13" ht="15.75" x14ac:dyDescent="0.25">
      <c r="A22" s="1"/>
      <c r="B22" s="1506" t="s">
        <v>2</v>
      </c>
      <c r="C22" s="1609"/>
      <c r="D22" s="183"/>
      <c r="E22" s="183"/>
      <c r="F22" s="183"/>
      <c r="G22" s="183"/>
      <c r="H22" s="183"/>
      <c r="I22" s="170"/>
      <c r="J22" s="170"/>
      <c r="K22" s="170"/>
      <c r="L22" s="170"/>
      <c r="M22" s="170"/>
    </row>
    <row r="23" spans="1:13" ht="33.75" customHeight="1" x14ac:dyDescent="0.25">
      <c r="A23" s="5">
        <v>20</v>
      </c>
      <c r="B23" s="1506" t="s">
        <v>21</v>
      </c>
      <c r="C23" s="1609"/>
      <c r="D23" s="183"/>
      <c r="E23" s="183"/>
      <c r="F23" s="183"/>
      <c r="G23" s="183"/>
      <c r="H23" s="183"/>
      <c r="I23" s="170"/>
      <c r="J23" s="170"/>
      <c r="K23" s="170"/>
      <c r="L23" s="170"/>
      <c r="M23" s="170"/>
    </row>
    <row r="24" spans="1:13" ht="15.75" x14ac:dyDescent="0.25">
      <c r="A24" s="1"/>
      <c r="B24" s="1506" t="s">
        <v>22</v>
      </c>
      <c r="C24" s="1609"/>
      <c r="D24" s="183"/>
      <c r="E24" s="183"/>
      <c r="F24" s="183"/>
      <c r="G24" s="183"/>
      <c r="H24" s="183"/>
      <c r="I24" s="170"/>
      <c r="J24" s="170"/>
      <c r="K24" s="170"/>
      <c r="L24" s="170"/>
      <c r="M24" s="170"/>
    </row>
  </sheetData>
  <mergeCells count="25">
    <mergeCell ref="D1:E1"/>
    <mergeCell ref="F1:H1"/>
    <mergeCell ref="B2:C2"/>
    <mergeCell ref="B20:C20"/>
    <mergeCell ref="B21:C21"/>
    <mergeCell ref="B7:C7"/>
    <mergeCell ref="B8:C8"/>
    <mergeCell ref="B9:C9"/>
    <mergeCell ref="B10:C10"/>
    <mergeCell ref="B11:C11"/>
    <mergeCell ref="B12:C12"/>
    <mergeCell ref="B3:C3"/>
    <mergeCell ref="B4:C4"/>
    <mergeCell ref="B5:C5"/>
    <mergeCell ref="B6:C6"/>
    <mergeCell ref="B22:C22"/>
    <mergeCell ref="B23:C23"/>
    <mergeCell ref="B24:C24"/>
    <mergeCell ref="B17:C17"/>
    <mergeCell ref="B13:C13"/>
    <mergeCell ref="B14:C14"/>
    <mergeCell ref="B15:C15"/>
    <mergeCell ref="B16:C16"/>
    <mergeCell ref="B18:C18"/>
    <mergeCell ref="B19:C1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5"/>
  <sheetViews>
    <sheetView workbookViewId="0">
      <selection activeCell="B1" sqref="B1"/>
    </sheetView>
  </sheetViews>
  <sheetFormatPr defaultRowHeight="15" x14ac:dyDescent="0.25"/>
  <cols>
    <col min="1" max="1" width="11.7109375" bestFit="1" customWidth="1"/>
    <col min="2" max="2" width="23.28515625" bestFit="1" customWidth="1"/>
  </cols>
  <sheetData>
    <row r="1" spans="1:3" x14ac:dyDescent="0.25">
      <c r="A1" t="s">
        <v>29</v>
      </c>
      <c r="B1" s="386" t="s">
        <v>638</v>
      </c>
      <c r="C1">
        <v>3.8316765200409417</v>
      </c>
    </row>
    <row r="2" spans="1:3" x14ac:dyDescent="0.25">
      <c r="A2" t="s">
        <v>490</v>
      </c>
      <c r="B2" s="386" t="s">
        <v>639</v>
      </c>
      <c r="C2">
        <v>864.70116177948</v>
      </c>
    </row>
    <row r="3" spans="1:3" x14ac:dyDescent="0.25">
      <c r="A3" t="s">
        <v>604</v>
      </c>
      <c r="B3" s="386" t="s">
        <v>606</v>
      </c>
      <c r="C3">
        <v>14.680108072392677</v>
      </c>
    </row>
    <row r="4" spans="1:3" x14ac:dyDescent="0.25">
      <c r="A4" t="s">
        <v>605</v>
      </c>
      <c r="B4" s="386" t="s">
        <v>607</v>
      </c>
      <c r="C4">
        <v>324.61272854415586</v>
      </c>
    </row>
    <row r="5" spans="1:3" x14ac:dyDescent="0.25">
      <c r="B5" s="386" t="s">
        <v>608</v>
      </c>
      <c r="C5">
        <v>1107.5622593061598</v>
      </c>
    </row>
    <row r="6" spans="1:3" x14ac:dyDescent="0.25">
      <c r="B6" s="386" t="s">
        <v>609</v>
      </c>
      <c r="C6">
        <v>10.941627184124307</v>
      </c>
    </row>
    <row r="7" spans="1:3" x14ac:dyDescent="0.25">
      <c r="B7" s="386" t="s">
        <v>610</v>
      </c>
      <c r="C7">
        <v>270.32010687839437</v>
      </c>
    </row>
    <row r="8" spans="1:3" x14ac:dyDescent="0.25">
      <c r="B8" s="386" t="s">
        <v>611</v>
      </c>
      <c r="C8">
        <v>3.8509248959999995</v>
      </c>
    </row>
    <row r="9" spans="1:3" x14ac:dyDescent="0.25">
      <c r="B9" s="386" t="s">
        <v>612</v>
      </c>
      <c r="C9">
        <v>2.7283763519999997</v>
      </c>
    </row>
    <row r="10" spans="1:3" x14ac:dyDescent="0.25">
      <c r="B10" s="386" t="s">
        <v>613</v>
      </c>
      <c r="C10">
        <v>175.14665357962176</v>
      </c>
    </row>
    <row r="11" spans="1:3" x14ac:dyDescent="0.25">
      <c r="B11" s="386" t="s">
        <v>640</v>
      </c>
      <c r="C11">
        <v>14.856125216426204</v>
      </c>
    </row>
    <row r="12" spans="1:3" x14ac:dyDescent="0.25">
      <c r="B12" s="386" t="s">
        <v>614</v>
      </c>
      <c r="C12">
        <v>634.98094764984</v>
      </c>
    </row>
    <row r="13" spans="1:3" x14ac:dyDescent="0.25">
      <c r="B13" s="386" t="s">
        <v>615</v>
      </c>
      <c r="C13">
        <v>267.40916874488175</v>
      </c>
    </row>
    <row r="14" spans="1:3" x14ac:dyDescent="0.25">
      <c r="B14" s="386" t="s">
        <v>616</v>
      </c>
      <c r="C14">
        <v>70.698010531206009</v>
      </c>
    </row>
    <row r="15" spans="1:3" x14ac:dyDescent="0.25">
      <c r="B15" s="386" t="s">
        <v>617</v>
      </c>
      <c r="C15">
        <v>133.11900700799995</v>
      </c>
    </row>
    <row r="16" spans="1:3" x14ac:dyDescent="0.25">
      <c r="B16" s="386" t="s">
        <v>618</v>
      </c>
      <c r="C16">
        <v>351.28106270649761</v>
      </c>
    </row>
    <row r="17" spans="2:3" x14ac:dyDescent="0.25">
      <c r="B17" s="386" t="s">
        <v>619</v>
      </c>
      <c r="C17">
        <v>635.83454999905155</v>
      </c>
    </row>
    <row r="18" spans="2:3" x14ac:dyDescent="0.25">
      <c r="B18" s="386" t="s">
        <v>620</v>
      </c>
      <c r="C18">
        <v>337.39065606586502</v>
      </c>
    </row>
    <row r="19" spans="2:3" x14ac:dyDescent="0.25">
      <c r="B19" s="386" t="s">
        <v>621</v>
      </c>
      <c r="C19">
        <v>0.65043727029463339</v>
      </c>
    </row>
    <row r="20" spans="2:3" x14ac:dyDescent="0.25">
      <c r="B20" s="386" t="s">
        <v>622</v>
      </c>
      <c r="C20">
        <v>765.03481015645832</v>
      </c>
    </row>
    <row r="21" spans="2:3" x14ac:dyDescent="0.25">
      <c r="B21" s="386" t="s">
        <v>623</v>
      </c>
      <c r="C21">
        <v>1168.1615370247198</v>
      </c>
    </row>
    <row r="22" spans="2:3" x14ac:dyDescent="0.25">
      <c r="B22" s="386" t="s">
        <v>624</v>
      </c>
      <c r="C22">
        <v>28.552897450418286</v>
      </c>
    </row>
    <row r="23" spans="2:3" x14ac:dyDescent="0.25">
      <c r="B23" s="386" t="s">
        <v>625</v>
      </c>
      <c r="C23">
        <v>31.947816825595414</v>
      </c>
    </row>
    <row r="24" spans="2:3" x14ac:dyDescent="0.25">
      <c r="B24" s="386" t="s">
        <v>626</v>
      </c>
      <c r="C24">
        <v>11.475743962062108</v>
      </c>
    </row>
    <row r="25" spans="2:3" x14ac:dyDescent="0.25">
      <c r="B25" s="386" t="s">
        <v>627</v>
      </c>
      <c r="C25">
        <v>20.104100601000003</v>
      </c>
    </row>
    <row r="26" spans="2:3" x14ac:dyDescent="0.25">
      <c r="B26" s="386" t="s">
        <v>628</v>
      </c>
      <c r="C26">
        <v>434.02129015156231</v>
      </c>
    </row>
    <row r="27" spans="2:3" x14ac:dyDescent="0.25">
      <c r="B27" s="386" t="s">
        <v>629</v>
      </c>
      <c r="C27">
        <v>13.280250057004118</v>
      </c>
    </row>
    <row r="28" spans="2:3" x14ac:dyDescent="0.25">
      <c r="B28" s="386" t="s">
        <v>630</v>
      </c>
      <c r="C28">
        <v>286.88611657074301</v>
      </c>
    </row>
    <row r="29" spans="2:3" x14ac:dyDescent="0.25">
      <c r="B29" s="386" t="s">
        <v>631</v>
      </c>
      <c r="C29">
        <v>723.71013063776002</v>
      </c>
    </row>
    <row r="30" spans="2:3" x14ac:dyDescent="0.25">
      <c r="B30" s="386" t="s">
        <v>632</v>
      </c>
      <c r="C30">
        <v>6.2572020209184576</v>
      </c>
    </row>
    <row r="31" spans="2:3" x14ac:dyDescent="0.25">
      <c r="B31" s="386" t="s">
        <v>633</v>
      </c>
      <c r="C31">
        <v>752.16343024032119</v>
      </c>
    </row>
    <row r="32" spans="2:3" x14ac:dyDescent="0.25">
      <c r="B32" s="386" t="s">
        <v>634</v>
      </c>
      <c r="C32">
        <v>37.661328078985775</v>
      </c>
    </row>
    <row r="33" spans="2:3" x14ac:dyDescent="0.25">
      <c r="B33" s="386" t="s">
        <v>635</v>
      </c>
      <c r="C33">
        <v>2104.8820555509601</v>
      </c>
    </row>
    <row r="34" spans="2:3" x14ac:dyDescent="0.25">
      <c r="B34" s="386" t="s">
        <v>636</v>
      </c>
      <c r="C34">
        <v>106.20151302067809</v>
      </c>
    </row>
    <row r="35" spans="2:3" x14ac:dyDescent="0.25">
      <c r="B35" s="386" t="s">
        <v>637</v>
      </c>
      <c r="C35">
        <v>941.95710561630574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048538"/>
  <sheetViews>
    <sheetView view="pageBreakPreview" topLeftCell="A29" zoomScale="66" zoomScaleNormal="50" zoomScaleSheetLayoutView="66" zoomScalePageLayoutView="41" workbookViewId="0">
      <selection activeCell="S33" sqref="S33"/>
    </sheetView>
  </sheetViews>
  <sheetFormatPr defaultRowHeight="15" x14ac:dyDescent="0.25"/>
  <cols>
    <col min="1" max="1" width="21.140625" style="70" customWidth="1"/>
    <col min="2" max="2" width="22.7109375" style="70" customWidth="1"/>
    <col min="3" max="3" width="19.7109375" customWidth="1"/>
    <col min="4" max="4" width="13.85546875" customWidth="1"/>
    <col min="5" max="5" width="15.7109375" customWidth="1"/>
    <col min="6" max="6" width="14.85546875" customWidth="1"/>
    <col min="7" max="7" width="12.85546875" customWidth="1"/>
    <col min="8" max="8" width="13.5703125" customWidth="1"/>
    <col min="9" max="9" width="12.85546875" customWidth="1"/>
    <col min="10" max="11" width="13.42578125" customWidth="1"/>
    <col min="12" max="12" width="12.140625" customWidth="1"/>
    <col min="13" max="13" width="12.28515625" customWidth="1"/>
    <col min="14" max="14" width="13.85546875" customWidth="1"/>
    <col min="15" max="15" width="10.28515625" customWidth="1"/>
    <col min="16" max="16" width="16.42578125" customWidth="1"/>
    <col min="17" max="17" width="11.28515625" customWidth="1"/>
    <col min="18" max="18" width="11" customWidth="1"/>
    <col min="19" max="19" width="17.5703125" customWidth="1"/>
    <col min="20" max="20" width="13.5703125" customWidth="1"/>
    <col min="22" max="22" width="10.42578125" style="6" bestFit="1" customWidth="1"/>
    <col min="23" max="23" width="10.7109375" style="6" bestFit="1" customWidth="1"/>
    <col min="24" max="16384" width="9.140625" style="6"/>
  </cols>
  <sheetData>
    <row r="1" spans="1:21" ht="18" x14ac:dyDescent="0.25">
      <c r="A1" s="913" t="s">
        <v>874</v>
      </c>
      <c r="B1" s="913"/>
      <c r="C1" s="913"/>
      <c r="D1" s="913"/>
      <c r="E1" s="913"/>
      <c r="F1" s="913"/>
      <c r="G1" s="913"/>
      <c r="H1" s="913"/>
      <c r="I1" s="913"/>
    </row>
    <row r="2" spans="1:21" ht="18" x14ac:dyDescent="0.25">
      <c r="A2" s="913" t="s">
        <v>23</v>
      </c>
      <c r="B2" s="913"/>
      <c r="C2" s="913"/>
      <c r="D2" s="913"/>
      <c r="E2" s="913"/>
      <c r="F2" s="913"/>
      <c r="G2" s="913"/>
      <c r="H2" s="913"/>
      <c r="I2" s="913"/>
      <c r="J2" s="6"/>
      <c r="K2" s="6"/>
      <c r="L2" s="6"/>
      <c r="M2" s="6"/>
      <c r="N2" s="6"/>
      <c r="O2" s="6"/>
      <c r="P2" s="6"/>
      <c r="Q2" s="6"/>
      <c r="R2" s="6"/>
      <c r="S2" s="6"/>
      <c r="T2" s="6"/>
      <c r="U2" s="6"/>
    </row>
    <row r="3" spans="1:21" ht="15.75" x14ac:dyDescent="0.25">
      <c r="A3" s="914" t="s">
        <v>939</v>
      </c>
      <c r="B3" s="914"/>
      <c r="C3" s="914"/>
      <c r="D3" s="914"/>
      <c r="E3" s="914"/>
      <c r="F3" s="914"/>
      <c r="G3" s="914"/>
      <c r="H3" s="914"/>
      <c r="I3" s="914"/>
      <c r="J3" s="6"/>
      <c r="K3" s="6"/>
      <c r="L3" s="6"/>
      <c r="M3" s="6"/>
      <c r="N3" s="6"/>
      <c r="O3" s="6"/>
      <c r="P3" s="6"/>
      <c r="Q3" s="6"/>
      <c r="R3" s="6"/>
      <c r="S3" s="6"/>
      <c r="T3" s="6"/>
      <c r="U3" s="6"/>
    </row>
    <row r="4" spans="1:21" ht="15.75" x14ac:dyDescent="0.25">
      <c r="A4" s="504" t="s">
        <v>24</v>
      </c>
      <c r="B4" s="505"/>
      <c r="C4" s="506" t="s">
        <v>25</v>
      </c>
      <c r="D4" s="507"/>
      <c r="E4" s="506" t="s">
        <v>26</v>
      </c>
      <c r="F4" s="508" t="str">
        <f>IF(H9&gt;40,"A",IF(H9&gt;5,"B","C"))</f>
        <v>C</v>
      </c>
      <c r="G4" s="506" t="s">
        <v>225</v>
      </c>
      <c r="H4" s="1922"/>
      <c r="I4" s="1922"/>
      <c r="M4" s="6"/>
      <c r="N4" s="6"/>
      <c r="O4" s="6"/>
      <c r="P4" s="6"/>
      <c r="Q4" s="6"/>
      <c r="R4" s="6"/>
      <c r="S4" s="6"/>
      <c r="T4" s="6"/>
      <c r="U4" s="6"/>
    </row>
    <row r="5" spans="1:21" ht="15.75" x14ac:dyDescent="0.25">
      <c r="A5" s="509" t="s">
        <v>27</v>
      </c>
      <c r="B5" s="510"/>
      <c r="M5" s="6"/>
      <c r="N5" s="6"/>
      <c r="O5" s="6"/>
      <c r="P5" s="6"/>
      <c r="Q5" s="6"/>
      <c r="R5" s="6"/>
      <c r="S5" s="6"/>
      <c r="T5" s="6"/>
      <c r="U5" s="6"/>
    </row>
    <row r="6" spans="1:21" s="9" customFormat="1" ht="16.5" thickBot="1" x14ac:dyDescent="0.3">
      <c r="A6" s="511"/>
      <c r="B6" s="512"/>
      <c r="C6" s="104"/>
      <c r="D6" s="104"/>
      <c r="E6" s="104"/>
      <c r="F6" s="104"/>
      <c r="G6" s="104"/>
      <c r="H6" s="104"/>
      <c r="I6" s="104"/>
    </row>
    <row r="7" spans="1:21" ht="18" x14ac:dyDescent="0.25">
      <c r="A7" s="918" t="s">
        <v>761</v>
      </c>
      <c r="B7" s="919"/>
      <c r="C7" s="919"/>
      <c r="D7" s="919"/>
      <c r="E7" s="919"/>
      <c r="F7" s="919"/>
      <c r="G7" s="919"/>
      <c r="H7" s="919"/>
      <c r="I7" s="920"/>
      <c r="J7" s="6"/>
      <c r="K7" s="6"/>
      <c r="L7" s="6"/>
      <c r="M7" s="6"/>
      <c r="N7" s="6"/>
      <c r="O7" s="6"/>
      <c r="P7" s="6"/>
      <c r="Q7" s="6"/>
      <c r="R7" s="6"/>
      <c r="S7" s="6"/>
      <c r="T7" s="6"/>
      <c r="U7" s="6"/>
    </row>
    <row r="8" spans="1:21" x14ac:dyDescent="0.25">
      <c r="A8" s="513"/>
      <c r="B8" s="514"/>
      <c r="C8" s="10"/>
      <c r="D8" s="10"/>
      <c r="E8" s="10"/>
      <c r="F8" s="10"/>
      <c r="G8" s="10"/>
      <c r="H8" s="10"/>
      <c r="I8" s="11"/>
      <c r="J8" s="6"/>
      <c r="K8" s="6"/>
      <c r="L8" s="6"/>
      <c r="M8" s="6"/>
      <c r="N8" s="6"/>
      <c r="O8" s="6"/>
      <c r="P8" s="6"/>
      <c r="Q8" s="6"/>
      <c r="R8" s="6"/>
      <c r="S8" s="6"/>
      <c r="T8" s="6"/>
      <c r="U8" s="6"/>
    </row>
    <row r="9" spans="1:21" x14ac:dyDescent="0.25">
      <c r="A9" s="515">
        <v>1</v>
      </c>
      <c r="B9" s="909" t="s">
        <v>940</v>
      </c>
      <c r="C9" s="909"/>
      <c r="D9" s="909"/>
      <c r="E9" s="909"/>
      <c r="F9" s="909"/>
      <c r="G9" s="909"/>
      <c r="H9" s="1915"/>
      <c r="I9" s="1916"/>
      <c r="J9" s="6"/>
      <c r="K9" s="6"/>
      <c r="L9" s="6"/>
      <c r="M9" s="6"/>
      <c r="N9" s="6"/>
      <c r="O9" s="6"/>
      <c r="P9" s="6"/>
      <c r="Q9" s="6"/>
      <c r="R9" s="6"/>
      <c r="S9" s="6"/>
      <c r="T9" s="6"/>
      <c r="U9" s="6"/>
    </row>
    <row r="10" spans="1:21" x14ac:dyDescent="0.25">
      <c r="A10" s="515"/>
      <c r="B10" s="910" t="s">
        <v>30</v>
      </c>
      <c r="C10" s="911"/>
      <c r="D10" s="911"/>
      <c r="E10" s="911"/>
      <c r="F10" s="911"/>
      <c r="G10" s="912"/>
      <c r="H10" s="1915"/>
      <c r="I10" s="1916"/>
      <c r="J10" s="6"/>
      <c r="K10" s="6"/>
      <c r="L10" s="6"/>
      <c r="M10" s="6"/>
      <c r="N10" s="6"/>
      <c r="O10" s="6"/>
      <c r="P10" s="6"/>
      <c r="Q10" s="6"/>
      <c r="R10" s="6"/>
      <c r="S10" s="6"/>
      <c r="T10" s="6"/>
      <c r="U10" s="6"/>
    </row>
    <row r="11" spans="1:21" x14ac:dyDescent="0.25">
      <c r="A11" s="515"/>
      <c r="B11" s="910" t="s">
        <v>31</v>
      </c>
      <c r="C11" s="911"/>
      <c r="D11" s="911"/>
      <c r="E11" s="911"/>
      <c r="F11" s="911"/>
      <c r="G11" s="912"/>
      <c r="H11" s="1917">
        <f>H12+H13</f>
        <v>0</v>
      </c>
      <c r="I11" s="1918"/>
      <c r="J11" s="6"/>
      <c r="K11" s="6"/>
      <c r="L11" s="6"/>
      <c r="M11" s="6"/>
      <c r="N11" s="6"/>
      <c r="O11" s="6"/>
      <c r="P11" s="6"/>
      <c r="Q11" s="6"/>
      <c r="R11" s="6"/>
      <c r="S11" s="6"/>
      <c r="T11" s="6"/>
      <c r="U11" s="6"/>
    </row>
    <row r="12" spans="1:21" x14ac:dyDescent="0.25">
      <c r="A12" s="515"/>
      <c r="B12" s="899" t="s">
        <v>32</v>
      </c>
      <c r="C12" s="900"/>
      <c r="D12" s="900"/>
      <c r="E12" s="900"/>
      <c r="F12" s="900"/>
      <c r="G12" s="901"/>
      <c r="H12" s="1915"/>
      <c r="I12" s="1916"/>
      <c r="J12" s="6"/>
      <c r="K12" s="6"/>
      <c r="L12" s="6"/>
      <c r="M12" s="6"/>
      <c r="N12" s="6"/>
      <c r="O12" s="6"/>
      <c r="P12" s="6"/>
      <c r="Q12" s="6"/>
      <c r="R12" s="6"/>
      <c r="S12" s="6"/>
      <c r="T12" s="6"/>
      <c r="U12" s="6"/>
    </row>
    <row r="13" spans="1:21" x14ac:dyDescent="0.25">
      <c r="A13" s="515"/>
      <c r="B13" s="899" t="s">
        <v>871</v>
      </c>
      <c r="C13" s="900"/>
      <c r="D13" s="900"/>
      <c r="E13" s="900"/>
      <c r="F13" s="900"/>
      <c r="G13" s="901"/>
      <c r="H13" s="1915"/>
      <c r="I13" s="1916"/>
      <c r="J13" s="6"/>
      <c r="K13" s="6"/>
      <c r="L13" s="6"/>
      <c r="M13" s="6"/>
      <c r="N13" s="6"/>
      <c r="O13" s="6"/>
      <c r="P13" s="6"/>
      <c r="Q13" s="6"/>
      <c r="R13" s="6"/>
      <c r="S13" s="6"/>
      <c r="T13" s="6"/>
      <c r="U13" s="6"/>
    </row>
    <row r="14" spans="1:21" ht="15.75" x14ac:dyDescent="0.25">
      <c r="A14" s="515"/>
      <c r="B14" s="904" t="s">
        <v>34</v>
      </c>
      <c r="C14" s="905"/>
      <c r="D14" s="905"/>
      <c r="E14" s="905"/>
      <c r="F14" s="905"/>
      <c r="G14" s="906"/>
      <c r="H14" s="1917">
        <f>SUM(H10:I11)</f>
        <v>0</v>
      </c>
      <c r="I14" s="1918"/>
      <c r="J14" s="6"/>
      <c r="K14" s="6"/>
      <c r="L14" s="6"/>
      <c r="M14" s="6"/>
      <c r="N14" s="6"/>
      <c r="O14" s="6"/>
      <c r="P14" s="6"/>
      <c r="Q14" s="6"/>
      <c r="R14" s="6"/>
      <c r="S14" s="6"/>
      <c r="T14" s="6"/>
      <c r="U14" s="6"/>
    </row>
    <row r="15" spans="1:21" ht="15.75" thickBot="1" x14ac:dyDescent="0.3">
      <c r="A15" s="516">
        <v>2</v>
      </c>
      <c r="B15" s="922" t="s">
        <v>35</v>
      </c>
      <c r="C15" s="922"/>
      <c r="D15" s="922"/>
      <c r="E15" s="922"/>
      <c r="F15" s="922"/>
      <c r="G15" s="922"/>
      <c r="H15" s="1919"/>
      <c r="I15" s="1920"/>
      <c r="J15" s="6"/>
      <c r="K15" s="6"/>
      <c r="L15" s="6"/>
      <c r="M15" s="6"/>
      <c r="N15" s="6"/>
      <c r="O15" s="6"/>
      <c r="P15" s="6"/>
      <c r="Q15" s="6"/>
      <c r="R15" s="6"/>
      <c r="S15" s="6"/>
      <c r="T15" s="6"/>
      <c r="U15" s="6"/>
    </row>
    <row r="16" spans="1:21" x14ac:dyDescent="0.25">
      <c r="A16" s="516">
        <v>3</v>
      </c>
      <c r="B16" s="922" t="s">
        <v>36</v>
      </c>
      <c r="C16" s="922"/>
      <c r="D16" s="922"/>
      <c r="E16" s="922"/>
      <c r="F16" s="922"/>
      <c r="G16" s="922"/>
      <c r="H16" s="1919"/>
      <c r="I16" s="1920"/>
      <c r="J16" s="6"/>
      <c r="K16" s="6"/>
      <c r="L16" s="6"/>
      <c r="M16" s="1981" t="s">
        <v>901</v>
      </c>
      <c r="N16" s="1982"/>
      <c r="O16" s="1982"/>
      <c r="P16" s="1983"/>
      <c r="Q16" s="1977" t="s">
        <v>889</v>
      </c>
      <c r="R16" s="1980"/>
      <c r="S16" s="1977" t="s">
        <v>890</v>
      </c>
      <c r="T16" s="1978"/>
      <c r="U16" s="1979"/>
    </row>
    <row r="17" spans="1:21" ht="30" x14ac:dyDescent="0.25">
      <c r="A17" s="516">
        <v>4</v>
      </c>
      <c r="B17" s="922" t="s">
        <v>762</v>
      </c>
      <c r="C17" s="922"/>
      <c r="D17" s="922"/>
      <c r="E17" s="922"/>
      <c r="F17" s="922"/>
      <c r="G17" s="922"/>
      <c r="H17" s="1919"/>
      <c r="I17" s="1920"/>
      <c r="J17" s="6"/>
      <c r="K17" s="6"/>
      <c r="L17" s="6"/>
      <c r="M17" s="1984"/>
      <c r="N17" s="1985"/>
      <c r="O17" s="1985"/>
      <c r="P17" s="1986"/>
      <c r="Q17" s="630">
        <v>2013</v>
      </c>
      <c r="R17" s="630" t="s">
        <v>942</v>
      </c>
      <c r="S17" s="630">
        <v>2015</v>
      </c>
      <c r="T17" s="630">
        <v>2016</v>
      </c>
      <c r="U17" s="796">
        <v>2017</v>
      </c>
    </row>
    <row r="18" spans="1:21" ht="33" customHeight="1" thickBot="1" x14ac:dyDescent="0.3">
      <c r="A18" s="517">
        <v>5</v>
      </c>
      <c r="B18" s="1912" t="s">
        <v>231</v>
      </c>
      <c r="C18" s="1912"/>
      <c r="D18" s="1912"/>
      <c r="E18" s="1912"/>
      <c r="F18" s="1912"/>
      <c r="G18" s="1912"/>
      <c r="H18" s="1913"/>
      <c r="I18" s="1914"/>
      <c r="J18" s="6"/>
      <c r="K18" s="6"/>
      <c r="L18" s="6"/>
      <c r="M18" s="679" t="s">
        <v>880</v>
      </c>
      <c r="N18" s="673"/>
      <c r="O18" s="673"/>
      <c r="P18" s="674"/>
      <c r="Q18" s="685"/>
      <c r="R18" s="685"/>
      <c r="S18" s="685"/>
      <c r="T18" s="685"/>
      <c r="U18" s="686"/>
    </row>
    <row r="19" spans="1:21" s="9" customFormat="1" ht="33" customHeight="1" thickBot="1" x14ac:dyDescent="0.3">
      <c r="A19" s="568"/>
      <c r="B19" s="665"/>
      <c r="C19" s="665"/>
      <c r="D19" s="665"/>
      <c r="E19" s="665"/>
      <c r="F19" s="665"/>
      <c r="G19" s="665"/>
      <c r="H19" s="666"/>
      <c r="I19" s="667"/>
      <c r="M19" s="679" t="s">
        <v>881</v>
      </c>
      <c r="N19" s="673"/>
      <c r="O19" s="673"/>
      <c r="P19" s="674"/>
      <c r="Q19" s="685"/>
      <c r="R19" s="685"/>
      <c r="S19" s="685"/>
      <c r="T19" s="685"/>
      <c r="U19" s="686"/>
    </row>
    <row r="20" spans="1:21" ht="75.75" thickBot="1" x14ac:dyDescent="0.3">
      <c r="A20" s="1735" t="s">
        <v>900</v>
      </c>
      <c r="B20" s="1736"/>
      <c r="C20" s="1736"/>
      <c r="D20" s="1736"/>
      <c r="E20" s="1736"/>
      <c r="F20" s="1736"/>
      <c r="G20" s="1737"/>
      <c r="H20" s="805" t="s">
        <v>689</v>
      </c>
      <c r="I20" s="805" t="s">
        <v>941</v>
      </c>
      <c r="J20" s="805" t="s">
        <v>872</v>
      </c>
      <c r="K20" s="806" t="s">
        <v>873</v>
      </c>
      <c r="L20" s="6"/>
      <c r="M20" s="680" t="s">
        <v>883</v>
      </c>
      <c r="N20" s="675"/>
      <c r="O20" s="675"/>
      <c r="P20" s="676"/>
      <c r="Q20" s="588"/>
      <c r="R20" s="588"/>
      <c r="S20" s="492"/>
      <c r="T20" s="492"/>
      <c r="U20" s="686"/>
    </row>
    <row r="21" spans="1:21" x14ac:dyDescent="0.25">
      <c r="A21" s="1377" t="s">
        <v>763</v>
      </c>
      <c r="B21" s="909"/>
      <c r="C21" s="909"/>
      <c r="D21" s="909"/>
      <c r="E21" s="909"/>
      <c r="F21" s="909"/>
      <c r="G21" s="1921"/>
      <c r="H21" s="803"/>
      <c r="I21" s="803"/>
      <c r="J21" s="803"/>
      <c r="K21" s="804"/>
      <c r="L21" s="6"/>
      <c r="M21" s="680" t="s">
        <v>898</v>
      </c>
      <c r="N21" s="675"/>
      <c r="O21" s="675"/>
      <c r="P21" s="676"/>
      <c r="Q21" s="589"/>
      <c r="R21" s="589"/>
      <c r="S21" s="492"/>
      <c r="T21" s="492"/>
      <c r="U21" s="686"/>
    </row>
    <row r="22" spans="1:21" x14ac:dyDescent="0.25">
      <c r="A22" s="921" t="s">
        <v>764</v>
      </c>
      <c r="B22" s="922"/>
      <c r="C22" s="922"/>
      <c r="D22" s="922"/>
      <c r="E22" s="922"/>
      <c r="F22" s="922"/>
      <c r="G22" s="910"/>
      <c r="H22" s="589"/>
      <c r="I22" s="589"/>
      <c r="J22" s="588"/>
      <c r="K22" s="668"/>
      <c r="L22" s="6"/>
      <c r="M22" s="680" t="s">
        <v>899</v>
      </c>
      <c r="N22" s="675"/>
      <c r="O22" s="675"/>
      <c r="P22" s="676"/>
      <c r="Q22" s="589"/>
      <c r="R22" s="589"/>
      <c r="S22" s="492"/>
      <c r="T22" s="492"/>
      <c r="U22" s="686"/>
    </row>
    <row r="23" spans="1:21" x14ac:dyDescent="0.25">
      <c r="A23" s="921" t="s">
        <v>765</v>
      </c>
      <c r="B23" s="922"/>
      <c r="C23" s="922"/>
      <c r="D23" s="922"/>
      <c r="E23" s="922"/>
      <c r="F23" s="922"/>
      <c r="G23" s="910"/>
      <c r="H23" s="589"/>
      <c r="I23" s="589"/>
      <c r="J23" s="588"/>
      <c r="K23" s="668"/>
      <c r="L23" s="6"/>
      <c r="M23" s="681" t="s">
        <v>882</v>
      </c>
      <c r="N23" s="677"/>
      <c r="O23" s="677"/>
      <c r="P23" s="678"/>
      <c r="Q23" s="589"/>
      <c r="R23" s="589"/>
      <c r="S23" s="492"/>
      <c r="T23" s="492"/>
      <c r="U23" s="686"/>
    </row>
    <row r="24" spans="1:21" x14ac:dyDescent="0.25">
      <c r="A24" s="921" t="s">
        <v>37</v>
      </c>
      <c r="B24" s="922"/>
      <c r="C24" s="922"/>
      <c r="D24" s="922"/>
      <c r="E24" s="922"/>
      <c r="F24" s="922"/>
      <c r="G24" s="910"/>
      <c r="H24" s="589"/>
      <c r="I24" s="589"/>
      <c r="J24" s="588"/>
      <c r="K24" s="668"/>
      <c r="L24" s="6"/>
      <c r="M24" s="681" t="s">
        <v>884</v>
      </c>
      <c r="N24" s="677"/>
      <c r="O24" s="677"/>
      <c r="P24" s="678"/>
      <c r="Q24" s="589"/>
      <c r="R24" s="589"/>
      <c r="S24" s="492"/>
      <c r="T24" s="492"/>
      <c r="U24" s="686"/>
    </row>
    <row r="25" spans="1:21" x14ac:dyDescent="0.25">
      <c r="A25" s="921" t="s">
        <v>867</v>
      </c>
      <c r="B25" s="922"/>
      <c r="C25" s="922"/>
      <c r="D25" s="922"/>
      <c r="E25" s="922"/>
      <c r="F25" s="922"/>
      <c r="G25" s="910"/>
      <c r="H25" s="589"/>
      <c r="I25" s="589"/>
      <c r="J25" s="588"/>
      <c r="K25" s="668"/>
      <c r="L25" s="6"/>
      <c r="M25" s="681" t="s">
        <v>887</v>
      </c>
      <c r="N25" s="677"/>
      <c r="O25" s="677"/>
      <c r="P25" s="678"/>
      <c r="Q25" s="589"/>
      <c r="R25" s="589"/>
      <c r="S25" s="492"/>
      <c r="T25" s="492"/>
      <c r="U25" s="686"/>
    </row>
    <row r="26" spans="1:21" x14ac:dyDescent="0.25">
      <c r="A26" s="921" t="s">
        <v>766</v>
      </c>
      <c r="B26" s="922"/>
      <c r="C26" s="922"/>
      <c r="D26" s="922"/>
      <c r="E26" s="922"/>
      <c r="F26" s="922"/>
      <c r="G26" s="910"/>
      <c r="H26" s="589"/>
      <c r="I26" s="589"/>
      <c r="J26" s="588"/>
      <c r="K26" s="668"/>
      <c r="M26" s="680" t="s">
        <v>885</v>
      </c>
      <c r="N26" s="675"/>
      <c r="O26" s="675"/>
      <c r="P26" s="676"/>
      <c r="Q26" s="589"/>
      <c r="R26" s="589"/>
      <c r="S26" s="492"/>
      <c r="T26" s="492"/>
      <c r="U26" s="686"/>
    </row>
    <row r="27" spans="1:21" x14ac:dyDescent="0.25">
      <c r="A27" s="921" t="s">
        <v>767</v>
      </c>
      <c r="B27" s="922"/>
      <c r="C27" s="922"/>
      <c r="D27" s="922"/>
      <c r="E27" s="922"/>
      <c r="F27" s="922"/>
      <c r="G27" s="922"/>
      <c r="H27" s="589"/>
      <c r="I27" s="589"/>
      <c r="J27" s="588"/>
      <c r="K27" s="668"/>
      <c r="M27" s="680" t="s">
        <v>886</v>
      </c>
      <c r="N27" s="675"/>
      <c r="O27" s="675"/>
      <c r="P27" s="676"/>
      <c r="Q27" s="589"/>
      <c r="R27" s="589"/>
      <c r="S27" s="492"/>
      <c r="T27" s="492"/>
      <c r="U27" s="686"/>
    </row>
    <row r="28" spans="1:21" ht="15.75" thickBot="1" x14ac:dyDescent="0.3">
      <c r="A28" s="921" t="s">
        <v>875</v>
      </c>
      <c r="B28" s="922"/>
      <c r="C28" s="922"/>
      <c r="D28" s="922"/>
      <c r="E28" s="922"/>
      <c r="F28" s="922"/>
      <c r="G28" s="922"/>
      <c r="H28" s="589"/>
      <c r="I28" s="589"/>
      <c r="J28" s="492"/>
      <c r="K28" s="669"/>
      <c r="M28" s="682" t="s">
        <v>888</v>
      </c>
      <c r="N28" s="683"/>
      <c r="O28" s="683"/>
      <c r="P28" s="684"/>
      <c r="Q28" s="670"/>
      <c r="R28" s="670"/>
      <c r="S28" s="671"/>
      <c r="T28" s="671"/>
      <c r="U28" s="687"/>
    </row>
    <row r="29" spans="1:21" ht="15.75" thickBot="1" x14ac:dyDescent="0.3">
      <c r="A29" s="1910" t="s">
        <v>205</v>
      </c>
      <c r="B29" s="1911"/>
      <c r="C29" s="1911"/>
      <c r="D29" s="1911"/>
      <c r="E29" s="1911"/>
      <c r="F29" s="1911"/>
      <c r="G29" s="1911"/>
      <c r="H29" s="670"/>
      <c r="I29" s="670"/>
      <c r="J29" s="671"/>
      <c r="K29" s="672"/>
      <c r="M29" s="6"/>
      <c r="N29" s="6"/>
      <c r="O29" s="6"/>
      <c r="P29" s="6"/>
      <c r="Q29" s="6"/>
      <c r="R29" s="6"/>
      <c r="S29" s="6"/>
      <c r="T29" s="6"/>
      <c r="U29" s="6"/>
    </row>
    <row r="30" spans="1:21" x14ac:dyDescent="0.25">
      <c r="M30" s="6"/>
      <c r="N30" s="6"/>
      <c r="O30" s="6"/>
      <c r="P30" s="6"/>
      <c r="Q30" s="6"/>
      <c r="R30" s="6"/>
      <c r="S30" s="6"/>
      <c r="T30" s="6"/>
      <c r="U30" s="6"/>
    </row>
    <row r="31" spans="1:21" ht="31.5" customHeight="1" x14ac:dyDescent="0.25">
      <c r="A31" s="933" t="s">
        <v>38</v>
      </c>
      <c r="B31" s="934"/>
      <c r="C31" s="934"/>
      <c r="D31" s="934"/>
      <c r="E31" s="934"/>
      <c r="F31" s="934"/>
      <c r="G31" s="934"/>
      <c r="H31" s="934"/>
      <c r="I31" s="934"/>
      <c r="J31" s="934"/>
      <c r="K31" s="934"/>
      <c r="L31" s="934"/>
      <c r="M31" s="934"/>
      <c r="N31" s="934"/>
      <c r="O31" s="934"/>
      <c r="P31" s="934"/>
      <c r="Q31" s="934"/>
      <c r="R31" s="581"/>
      <c r="S31" s="12"/>
    </row>
    <row r="32" spans="1:21" ht="15.75" thickBot="1" x14ac:dyDescent="0.3"/>
    <row r="33" spans="1:21" ht="18" x14ac:dyDescent="0.25">
      <c r="A33" s="935" t="s">
        <v>281</v>
      </c>
      <c r="B33" s="936"/>
      <c r="C33" s="936"/>
      <c r="D33" s="936"/>
      <c r="E33" s="936"/>
      <c r="F33" s="936"/>
      <c r="G33" s="936"/>
      <c r="H33" s="937"/>
      <c r="I33" s="1908" t="s">
        <v>844</v>
      </c>
      <c r="J33" s="1909"/>
      <c r="K33" s="1909"/>
      <c r="L33" s="1903" t="s">
        <v>846</v>
      </c>
      <c r="M33" s="1903"/>
      <c r="O33" s="6"/>
      <c r="P33" s="6"/>
      <c r="Q33" s="6"/>
      <c r="R33" s="6"/>
      <c r="S33" s="6"/>
      <c r="T33" s="6"/>
      <c r="U33" s="6"/>
    </row>
    <row r="34" spans="1:21" ht="15" customHeight="1" x14ac:dyDescent="0.25">
      <c r="A34" s="518"/>
      <c r="B34" s="71"/>
      <c r="C34" s="6"/>
      <c r="D34" s="13"/>
      <c r="E34" s="13"/>
      <c r="F34" s="13"/>
      <c r="G34" s="13"/>
      <c r="H34" s="13"/>
      <c r="I34" s="942" t="s">
        <v>41</v>
      </c>
      <c r="J34" s="943"/>
      <c r="K34" s="944"/>
      <c r="L34" s="1904"/>
      <c r="M34" s="1904"/>
      <c r="O34" s="6"/>
      <c r="P34" s="6"/>
      <c r="Q34" s="6"/>
      <c r="R34" s="6"/>
      <c r="S34" s="6"/>
      <c r="T34" s="6"/>
      <c r="U34" s="6"/>
    </row>
    <row r="35" spans="1:21" s="14" customFormat="1" ht="25.5" customHeight="1" x14ac:dyDescent="0.25">
      <c r="A35" s="951" t="s">
        <v>43</v>
      </c>
      <c r="B35" s="952"/>
      <c r="C35" s="953" t="s">
        <v>768</v>
      </c>
      <c r="D35" s="954" t="s">
        <v>847</v>
      </c>
      <c r="E35" s="954" t="s">
        <v>943</v>
      </c>
      <c r="F35" s="968" t="s">
        <v>944</v>
      </c>
      <c r="G35" s="969"/>
      <c r="H35" s="970"/>
      <c r="I35" s="971" t="s">
        <v>47</v>
      </c>
      <c r="J35" s="971" t="s">
        <v>48</v>
      </c>
      <c r="K35" s="971" t="s">
        <v>2</v>
      </c>
      <c r="L35" s="1904"/>
      <c r="M35" s="1904"/>
      <c r="N35" s="15"/>
    </row>
    <row r="36" spans="1:21" s="14" customFormat="1" ht="48" customHeight="1" x14ac:dyDescent="0.25">
      <c r="A36" s="951"/>
      <c r="B36" s="952"/>
      <c r="C36" s="953"/>
      <c r="D36" s="954"/>
      <c r="E36" s="954"/>
      <c r="F36" s="16" t="s">
        <v>47</v>
      </c>
      <c r="G36" s="16" t="s">
        <v>48</v>
      </c>
      <c r="H36" s="607" t="s">
        <v>2</v>
      </c>
      <c r="I36" s="972"/>
      <c r="J36" s="972"/>
      <c r="K36" s="972"/>
      <c r="L36" s="1905"/>
      <c r="M36" s="1905"/>
      <c r="N36" s="15"/>
    </row>
    <row r="37" spans="1:21" s="14" customFormat="1" ht="15.75" customHeight="1" x14ac:dyDescent="0.25">
      <c r="A37" s="957" t="s">
        <v>51</v>
      </c>
      <c r="B37" s="958"/>
      <c r="C37" s="17">
        <v>1</v>
      </c>
      <c r="D37" s="164"/>
      <c r="E37" s="164"/>
      <c r="F37" s="164"/>
      <c r="G37" s="164"/>
      <c r="H37" s="18">
        <f>SUM(+F37+G37)</f>
        <v>0</v>
      </c>
      <c r="I37" s="19">
        <f>$D$4*COUNTIF(H21,"No")*2500000*E37</f>
        <v>0</v>
      </c>
      <c r="J37" s="20">
        <f>$D$4*COUNTIF(H21,"Yes")*50000</f>
        <v>0</v>
      </c>
      <c r="K37" s="21">
        <f>(I37+J37)</f>
        <v>0</v>
      </c>
      <c r="L37" s="1897"/>
      <c r="M37" s="1898"/>
      <c r="N37" s="15"/>
    </row>
    <row r="38" spans="1:21" x14ac:dyDescent="0.25">
      <c r="A38" s="957" t="s">
        <v>52</v>
      </c>
      <c r="B38" s="958"/>
      <c r="C38" s="519"/>
      <c r="D38" s="164"/>
      <c r="E38" s="164"/>
      <c r="F38" s="172"/>
      <c r="G38" s="165"/>
      <c r="H38" s="18">
        <f t="shared" ref="H38:H48" si="0">F38+G38</f>
        <v>0</v>
      </c>
      <c r="I38" s="8">
        <f>$D$4*E38*1500000</f>
        <v>0</v>
      </c>
      <c r="J38" s="8">
        <f>$D$4*(D38+E38)*150000</f>
        <v>0</v>
      </c>
      <c r="K38" s="8">
        <f>(I38+J38)</f>
        <v>0</v>
      </c>
      <c r="L38" s="1899"/>
      <c r="M38" s="1900"/>
      <c r="O38" s="6"/>
      <c r="P38" s="6"/>
      <c r="Q38" s="6"/>
      <c r="R38" s="6"/>
      <c r="S38" s="6"/>
      <c r="T38" s="6"/>
      <c r="U38" s="6"/>
    </row>
    <row r="39" spans="1:21" x14ac:dyDescent="0.25">
      <c r="A39" s="959" t="s">
        <v>769</v>
      </c>
      <c r="B39" s="960"/>
      <c r="C39" s="24"/>
      <c r="D39" s="25"/>
      <c r="E39" s="25"/>
      <c r="F39" s="25"/>
      <c r="G39" s="26"/>
      <c r="H39" s="27"/>
      <c r="I39" s="28"/>
      <c r="J39" s="28"/>
      <c r="K39" s="28"/>
      <c r="L39" s="1899"/>
      <c r="M39" s="1900"/>
      <c r="O39" s="6"/>
      <c r="P39" s="6"/>
      <c r="Q39" s="6"/>
      <c r="R39" s="6"/>
      <c r="S39" s="6"/>
      <c r="T39" s="6"/>
      <c r="U39" s="6"/>
    </row>
    <row r="40" spans="1:21" x14ac:dyDescent="0.25">
      <c r="A40" s="167" t="s">
        <v>226</v>
      </c>
      <c r="B40" s="164"/>
      <c r="C40" s="519"/>
      <c r="D40" s="164"/>
      <c r="E40" s="164"/>
      <c r="F40" s="164"/>
      <c r="G40" s="165"/>
      <c r="H40" s="18">
        <f t="shared" si="0"/>
        <v>0</v>
      </c>
      <c r="I40" s="8">
        <f>$D$4*E40*(COUNTIF(B40,"Solid+Liquid+LPA")*6400000)+$D$4*E40*(COUNTIF(B40,"Solid")*1000000)+$D$4*E40*(COUNTIF(B40,"Liquid")*5000000)+$D$4*E40*(COUNTIF(B40,"LPA")*400000)+$D$4*E40*(COUNTIF(B40,"Solid+Liquid")*6000000)+$D$4*E40*(COUNTIF(B40,"Liquid+LPA")*5400000)+$D$4*E40*(COUNTIF(B40,"Solid+LPA")*1400000)</f>
        <v>0</v>
      </c>
      <c r="J40" s="8">
        <f>$D$4*D40*75000+$D$4*D40*(COUNTIF(B40,"Solid+Liquid+LPA")*75000)+$D$4*D40*(COUNTIF(B40,"Solid")*25000)+$D$4*D40*(COUNTIF(B40,"Liquid")*25000)+$D$4*D40*(COUNTIF(B40,"LPA")*25000)+$D$4*D40*(COUNTIF(B40,"Solid+Liquid")*50000)+$D$4*D40*(COUNTIF(B40,"Liquid+LPA")*50000)+$D$4*D40*(COUNTIF(B40,"Solid+LPA")*50000)</f>
        <v>0</v>
      </c>
      <c r="K40" s="8">
        <f>SUM(I40:J40)</f>
        <v>0</v>
      </c>
      <c r="L40" s="1899"/>
      <c r="M40" s="1900"/>
      <c r="O40" s="6"/>
      <c r="P40" s="6"/>
      <c r="Q40" s="6"/>
      <c r="R40" s="6"/>
      <c r="S40" s="6"/>
      <c r="T40" s="6"/>
      <c r="U40" s="6"/>
    </row>
    <row r="41" spans="1:21" x14ac:dyDescent="0.25">
      <c r="A41" s="167" t="s">
        <v>227</v>
      </c>
      <c r="B41" s="164"/>
      <c r="C41" s="519"/>
      <c r="D41" s="164"/>
      <c r="E41" s="164"/>
      <c r="F41" s="164"/>
      <c r="G41" s="165"/>
      <c r="H41" s="18">
        <f t="shared" si="0"/>
        <v>0</v>
      </c>
      <c r="I41" s="8">
        <f>$D$4*E41*(COUNTIF(B41,"Solid+Liquid+LPA")*6400000)+$D$4*E41*(COUNTIF(B41,"Solid")*1000000)+$D$4*E41*(COUNTIF(B41,"Liquid")*5000000)+$D$4*E41*(COUNTIF(B41,"LPA")*400000)+$D$4*E41*(COUNTIF(B41,"Solid+Liquid")*6000000)+$D$4*E41*(COUNTIF(B41,"Liquid+LPA")*5400000)+$D$4*E41*(COUNTIF(B41,"Solid+LPA")*1400000)</f>
        <v>0</v>
      </c>
      <c r="J41" s="8">
        <f>$D$4*D41*75000+$D$4*D41*(COUNTIF(B41,"Solid+Liquid+LPA")*75000)+$D$4*D41*(COUNTIF(B41,"Solid")*25000)+$D$4*D41*(COUNTIF(B41,"Liquid")*25000)+$D$4*D41*(COUNTIF(B41,"LPA")*25000)+$D$4*D41*(COUNTIF(B41,"Solid+Liquid")*50000)+$D$4*D41*(COUNTIF(B41,"Liquid+LPA")*50000)+$D$4*D41*(COUNTIF(B41,"Solid+LPA")*50000)</f>
        <v>0</v>
      </c>
      <c r="K41" s="8">
        <f t="shared" ref="K41:K48" si="1">SUM(I41:J41)</f>
        <v>0</v>
      </c>
      <c r="L41" s="1899"/>
      <c r="M41" s="1900"/>
      <c r="O41" s="6"/>
      <c r="P41" s="6"/>
      <c r="Q41" s="6"/>
      <c r="R41" s="6"/>
      <c r="S41" s="6"/>
      <c r="T41" s="6"/>
      <c r="U41" s="6"/>
    </row>
    <row r="42" spans="1:21" x14ac:dyDescent="0.25">
      <c r="A42" s="167" t="s">
        <v>228</v>
      </c>
      <c r="B42" s="164"/>
      <c r="C42" s="519"/>
      <c r="D42" s="164"/>
      <c r="E42" s="164"/>
      <c r="F42" s="164"/>
      <c r="G42" s="165"/>
      <c r="H42" s="18">
        <f t="shared" si="0"/>
        <v>0</v>
      </c>
      <c r="I42" s="8">
        <f>$D$4*E42*(COUNTIF(B42,"Solid+Liquid+LPA")*6400000)+$D$4*E42*(COUNTIF(B42,"Solid")*1000000)+$D$4*E42*(COUNTIF(B42,"Liquid")*5000000)+$D$4*E42*(COUNTIF(B42,"LPA")*400000)+$D$4*E42*(COUNTIF(B42,"Solid+Liquid")*6000000)+$D$4*E42*(COUNTIF(B42,"Liquid+LPA")*5400000)+$D$4*E42*(COUNTIF(B42,"Solid+LPA")*1400000)</f>
        <v>0</v>
      </c>
      <c r="J42" s="8">
        <f>$D$4*D42*75000+$D$4*D42*(COUNTIF(B42,"Solid+Liquid+LPA")*75000)+$D$4*D42*(COUNTIF(B42,"Solid")*25000)+$D$4*D42*(COUNTIF(B42,"Liquid")*25000)+$D$4*D42*(COUNTIF(B42,"LPA")*25000)+$D$4*D42*(COUNTIF(B42,"Solid+Liquid")*50000)+$D$4*D42*(COUNTIF(B42,"Liquid+LPA")*50000)+$D$4*D42*(COUNTIF(B42,"Solid+LPA")*50000)</f>
        <v>0</v>
      </c>
      <c r="K42" s="8">
        <f t="shared" si="1"/>
        <v>0</v>
      </c>
      <c r="L42" s="1899"/>
      <c r="M42" s="1900"/>
      <c r="O42" s="6"/>
      <c r="P42" s="6"/>
      <c r="Q42" s="6"/>
      <c r="R42" s="6"/>
      <c r="S42" s="6"/>
      <c r="T42" s="6"/>
      <c r="U42" s="6"/>
    </row>
    <row r="43" spans="1:21" s="32" customFormat="1" ht="15.75" customHeight="1" x14ac:dyDescent="0.2">
      <c r="A43" s="957" t="s">
        <v>60</v>
      </c>
      <c r="B43" s="958"/>
      <c r="C43" s="520">
        <v>1</v>
      </c>
      <c r="D43" s="521"/>
      <c r="E43" s="521"/>
      <c r="F43" s="521"/>
      <c r="G43" s="522"/>
      <c r="H43" s="18">
        <f t="shared" si="0"/>
        <v>0</v>
      </c>
      <c r="I43" s="19">
        <f>E43*$D$4*60000</f>
        <v>0</v>
      </c>
      <c r="J43" s="592" t="s">
        <v>827</v>
      </c>
      <c r="K43" s="8">
        <f t="shared" si="1"/>
        <v>0</v>
      </c>
      <c r="L43" s="1899"/>
      <c r="M43" s="1900"/>
    </row>
    <row r="44" spans="1:21" s="32" customFormat="1" x14ac:dyDescent="0.2">
      <c r="A44" s="957" t="s">
        <v>61</v>
      </c>
      <c r="B44" s="958"/>
      <c r="C44" s="590"/>
      <c r="D44" s="523"/>
      <c r="E44" s="521"/>
      <c r="F44" s="521"/>
      <c r="G44" s="521"/>
      <c r="H44" s="18">
        <f t="shared" si="0"/>
        <v>0</v>
      </c>
      <c r="I44" s="19">
        <f>$D$4*E44*100000</f>
        <v>0</v>
      </c>
      <c r="J44" s="19">
        <f>$D$4*(D44+E44)*10000</f>
        <v>0</v>
      </c>
      <c r="K44" s="8">
        <f t="shared" si="1"/>
        <v>0</v>
      </c>
      <c r="L44" s="1899"/>
      <c r="M44" s="1900"/>
    </row>
    <row r="45" spans="1:21" s="32" customFormat="1" x14ac:dyDescent="0.2">
      <c r="A45" s="957" t="s">
        <v>62</v>
      </c>
      <c r="B45" s="958"/>
      <c r="C45" s="590"/>
      <c r="D45" s="521"/>
      <c r="E45" s="521"/>
      <c r="F45" s="521"/>
      <c r="G45" s="521"/>
      <c r="H45" s="18">
        <f t="shared" si="0"/>
        <v>0</v>
      </c>
      <c r="I45" s="19">
        <f>$D$4*E45*60000</f>
        <v>0</v>
      </c>
      <c r="J45" s="19">
        <f>$D$4*(D45+E45)*5000</f>
        <v>0</v>
      </c>
      <c r="K45" s="8">
        <f t="shared" si="1"/>
        <v>0</v>
      </c>
      <c r="L45" s="1899"/>
      <c r="M45" s="1900"/>
      <c r="N45" s="33"/>
    </row>
    <row r="46" spans="1:21" s="32" customFormat="1" ht="30" customHeight="1" x14ac:dyDescent="0.2">
      <c r="A46" s="1906" t="s">
        <v>63</v>
      </c>
      <c r="B46" s="1907"/>
      <c r="C46" s="524"/>
      <c r="D46" s="521"/>
      <c r="E46" s="521"/>
      <c r="F46" s="521"/>
      <c r="G46" s="521"/>
      <c r="H46" s="18">
        <f t="shared" si="0"/>
        <v>0</v>
      </c>
      <c r="I46" s="19">
        <f>$D$4*E46*60000</f>
        <v>0</v>
      </c>
      <c r="J46" s="19">
        <f>$D$4*D46*5000</f>
        <v>0</v>
      </c>
      <c r="K46" s="8">
        <f t="shared" si="1"/>
        <v>0</v>
      </c>
      <c r="L46" s="1899"/>
      <c r="M46" s="1900"/>
      <c r="N46" s="33"/>
    </row>
    <row r="47" spans="1:21" s="32" customFormat="1" x14ac:dyDescent="0.2">
      <c r="A47" s="998" t="s">
        <v>845</v>
      </c>
      <c r="B47" s="999"/>
      <c r="C47" s="525"/>
      <c r="D47" s="526"/>
      <c r="E47" s="526"/>
      <c r="F47" s="526"/>
      <c r="G47" s="526"/>
      <c r="H47" s="527">
        <f>F47+G47</f>
        <v>0</v>
      </c>
      <c r="I47" s="528">
        <f>$D$4*E47*(60000+50000)</f>
        <v>0</v>
      </c>
      <c r="J47" s="528">
        <f>$D$4*D47*5000</f>
        <v>0</v>
      </c>
      <c r="K47" s="31">
        <f>SUM(I47:J47)</f>
        <v>0</v>
      </c>
      <c r="L47" s="1899"/>
      <c r="M47" s="1900"/>
      <c r="N47" s="33"/>
    </row>
    <row r="48" spans="1:21" s="32" customFormat="1" ht="15.75" thickBot="1" x14ac:dyDescent="0.25">
      <c r="A48" s="998" t="s">
        <v>205</v>
      </c>
      <c r="B48" s="999"/>
      <c r="C48" s="525"/>
      <c r="D48" s="526"/>
      <c r="E48" s="526"/>
      <c r="F48" s="526"/>
      <c r="G48" s="526"/>
      <c r="H48" s="527">
        <f t="shared" si="0"/>
        <v>0</v>
      </c>
      <c r="I48" s="528">
        <f>$D$4*E48*(60000+50000)</f>
        <v>0</v>
      </c>
      <c r="J48" s="528">
        <f>$D$4*D48*5000</f>
        <v>0</v>
      </c>
      <c r="K48" s="31">
        <f t="shared" si="1"/>
        <v>0</v>
      </c>
      <c r="L48" s="1899"/>
      <c r="M48" s="1900"/>
      <c r="N48" s="33"/>
    </row>
    <row r="49" spans="1:21" s="32" customFormat="1" ht="19.5" thickBot="1" x14ac:dyDescent="0.25">
      <c r="A49" s="973" t="s">
        <v>2</v>
      </c>
      <c r="B49" s="974"/>
      <c r="C49" s="35"/>
      <c r="D49" s="36"/>
      <c r="E49" s="36"/>
      <c r="F49" s="37">
        <f>SUM(F37:F48)</f>
        <v>0</v>
      </c>
      <c r="G49" s="37">
        <f>SUM(G37:G48)</f>
        <v>0</v>
      </c>
      <c r="H49" s="38">
        <f t="shared" ref="H49:K49" si="2">SUM(H37:H48)</f>
        <v>0</v>
      </c>
      <c r="I49" s="37">
        <f t="shared" si="2"/>
        <v>0</v>
      </c>
      <c r="J49" s="37">
        <f t="shared" si="2"/>
        <v>0</v>
      </c>
      <c r="K49" s="37">
        <f t="shared" si="2"/>
        <v>0</v>
      </c>
      <c r="L49" s="1901"/>
      <c r="M49" s="1902"/>
      <c r="N49" s="33"/>
    </row>
    <row r="50" spans="1:21" s="32" customFormat="1" ht="13.5" thickBot="1" x14ac:dyDescent="0.25">
      <c r="A50" s="61"/>
      <c r="B50" s="61"/>
      <c r="C50" s="41"/>
      <c r="D50" s="41"/>
      <c r="E50" s="41"/>
      <c r="F50" s="41"/>
      <c r="G50" s="41"/>
      <c r="H50" s="42"/>
      <c r="I50" s="42"/>
      <c r="J50" s="43"/>
      <c r="K50" s="43"/>
      <c r="L50" s="44"/>
      <c r="M50" s="45"/>
      <c r="N50" s="33"/>
    </row>
    <row r="51" spans="1:21" ht="18" x14ac:dyDescent="0.25">
      <c r="A51" s="1000" t="s">
        <v>770</v>
      </c>
      <c r="B51" s="1001"/>
      <c r="C51" s="1001"/>
      <c r="D51" s="1001"/>
      <c r="E51" s="1001"/>
      <c r="F51" s="1001"/>
      <c r="G51" s="1001"/>
      <c r="H51" s="1687"/>
      <c r="I51" s="1858" t="s">
        <v>846</v>
      </c>
      <c r="J51" s="1859"/>
      <c r="K51" s="1859"/>
      <c r="L51" s="1859"/>
      <c r="M51" s="1860"/>
      <c r="N51" s="6"/>
      <c r="O51" s="6"/>
      <c r="P51" s="6"/>
      <c r="Q51" s="6"/>
      <c r="R51" s="6"/>
      <c r="S51" s="6"/>
      <c r="T51" s="6"/>
      <c r="U51" s="6"/>
    </row>
    <row r="52" spans="1:21" ht="36" customHeight="1" x14ac:dyDescent="0.25">
      <c r="A52" s="981" t="s">
        <v>43</v>
      </c>
      <c r="B52" s="982"/>
      <c r="C52" s="953" t="s">
        <v>771</v>
      </c>
      <c r="D52" s="977" t="s">
        <v>853</v>
      </c>
      <c r="E52" s="977"/>
      <c r="F52" s="982" t="s">
        <v>945</v>
      </c>
      <c r="G52" s="1895" t="s">
        <v>946</v>
      </c>
      <c r="H52" s="1896"/>
      <c r="I52" s="1878"/>
      <c r="J52" s="1879"/>
      <c r="K52" s="1879"/>
      <c r="L52" s="1879"/>
      <c r="M52" s="1880"/>
      <c r="N52" s="6"/>
      <c r="O52" s="6"/>
      <c r="P52" s="6"/>
      <c r="Q52" s="6"/>
      <c r="R52" s="6"/>
      <c r="S52" s="6"/>
      <c r="T52" s="6"/>
      <c r="U52" s="6"/>
    </row>
    <row r="53" spans="1:21" s="14" customFormat="1" ht="56.25" customHeight="1" x14ac:dyDescent="0.25">
      <c r="A53" s="981"/>
      <c r="B53" s="982"/>
      <c r="C53" s="953"/>
      <c r="D53" s="594" t="s">
        <v>848</v>
      </c>
      <c r="E53" s="650" t="s">
        <v>849</v>
      </c>
      <c r="F53" s="982"/>
      <c r="G53" s="594" t="s">
        <v>850</v>
      </c>
      <c r="H53" s="826" t="s">
        <v>852</v>
      </c>
      <c r="I53" s="1878"/>
      <c r="J53" s="1879"/>
      <c r="K53" s="1879"/>
      <c r="L53" s="1879"/>
      <c r="M53" s="1880"/>
    </row>
    <row r="54" spans="1:21" s="32" customFormat="1" ht="30" customHeight="1" x14ac:dyDescent="0.2">
      <c r="A54" s="992" t="s">
        <v>69</v>
      </c>
      <c r="B54" s="993"/>
      <c r="C54" s="529"/>
      <c r="D54" s="688"/>
      <c r="E54" s="688"/>
      <c r="F54" s="689"/>
      <c r="G54" s="689"/>
      <c r="H54" s="827"/>
      <c r="I54" s="1878"/>
      <c r="J54" s="1879"/>
      <c r="K54" s="1879"/>
      <c r="L54" s="1879"/>
      <c r="M54" s="1880"/>
    </row>
    <row r="55" spans="1:21" ht="39" customHeight="1" x14ac:dyDescent="0.25">
      <c r="A55" s="992" t="s">
        <v>70</v>
      </c>
      <c r="B55" s="993"/>
      <c r="C55" s="529"/>
      <c r="D55" s="688"/>
      <c r="E55" s="688"/>
      <c r="F55" s="689"/>
      <c r="G55" s="689"/>
      <c r="H55" s="827"/>
      <c r="I55" s="1878"/>
      <c r="J55" s="1879"/>
      <c r="K55" s="1879"/>
      <c r="L55" s="1879"/>
      <c r="M55" s="1880"/>
      <c r="N55" s="6"/>
      <c r="O55" s="6"/>
      <c r="P55" s="6"/>
      <c r="Q55" s="6"/>
      <c r="R55" s="6"/>
      <c r="S55" s="6"/>
      <c r="T55" s="6"/>
      <c r="U55" s="6"/>
    </row>
    <row r="56" spans="1:21" ht="26.25" customHeight="1" thickBot="1" x14ac:dyDescent="0.3">
      <c r="A56" s="1017" t="s">
        <v>71</v>
      </c>
      <c r="B56" s="1018"/>
      <c r="C56" s="530"/>
      <c r="D56" s="828"/>
      <c r="E56" s="828"/>
      <c r="F56" s="829"/>
      <c r="G56" s="829"/>
      <c r="H56" s="830"/>
      <c r="I56" s="1878"/>
      <c r="J56" s="1879"/>
      <c r="K56" s="1879"/>
      <c r="L56" s="1879"/>
      <c r="M56" s="1880"/>
      <c r="N56" s="6"/>
      <c r="O56" s="6"/>
      <c r="P56" s="6"/>
      <c r="Q56" s="6"/>
      <c r="R56" s="6"/>
      <c r="S56" s="6"/>
      <c r="T56" s="6"/>
      <c r="U56" s="6"/>
    </row>
    <row r="57" spans="1:21" ht="24" customHeight="1" thickBot="1" x14ac:dyDescent="0.3">
      <c r="A57" s="1003" t="s">
        <v>2</v>
      </c>
      <c r="B57" s="1004"/>
      <c r="C57" s="531">
        <f>300000*$D$4*(H9/10)</f>
        <v>0</v>
      </c>
      <c r="D57" s="659">
        <f>SUM(D54:D56)</f>
        <v>0</v>
      </c>
      <c r="E57" s="659">
        <f t="shared" ref="E57:H57" si="3">SUM(E54:E56)</f>
        <v>0</v>
      </c>
      <c r="F57" s="659">
        <f t="shared" si="3"/>
        <v>0</v>
      </c>
      <c r="G57" s="659">
        <f t="shared" si="3"/>
        <v>0</v>
      </c>
      <c r="H57" s="831">
        <f t="shared" si="3"/>
        <v>0</v>
      </c>
      <c r="I57" s="1881"/>
      <c r="J57" s="1882"/>
      <c r="K57" s="1882"/>
      <c r="L57" s="1882"/>
      <c r="M57" s="1883"/>
      <c r="N57" s="6"/>
      <c r="O57" s="6"/>
      <c r="P57" s="6"/>
      <c r="Q57" s="6"/>
      <c r="R57" s="6"/>
      <c r="S57" s="6"/>
      <c r="T57" s="6"/>
      <c r="U57" s="6"/>
    </row>
    <row r="58" spans="1:21" s="599" customFormat="1" ht="15.75" thickBot="1" x14ac:dyDescent="0.3">
      <c r="A58" s="597"/>
      <c r="B58" s="597"/>
      <c r="C58" s="598"/>
      <c r="D58" s="598"/>
      <c r="E58" s="598"/>
      <c r="F58" s="598"/>
      <c r="G58" s="598"/>
      <c r="H58" s="598"/>
      <c r="I58" s="598"/>
      <c r="J58" s="598"/>
      <c r="K58" s="598"/>
      <c r="L58" s="598"/>
      <c r="M58" s="598"/>
    </row>
    <row r="59" spans="1:21" ht="18" x14ac:dyDescent="0.25">
      <c r="A59" s="595" t="s">
        <v>772</v>
      </c>
      <c r="B59" s="596"/>
      <c r="C59" s="596"/>
      <c r="D59" s="596"/>
      <c r="E59" s="596"/>
      <c r="F59" s="596"/>
      <c r="G59" s="596"/>
      <c r="H59" s="596"/>
      <c r="I59" s="1625" t="s">
        <v>846</v>
      </c>
      <c r="J59" s="1626"/>
      <c r="K59" s="1626"/>
      <c r="L59" s="1626"/>
      <c r="M59" s="1627"/>
      <c r="N59" s="6"/>
      <c r="O59" s="6"/>
      <c r="P59" s="6"/>
      <c r="Q59" s="6"/>
      <c r="R59" s="6"/>
      <c r="S59" s="6"/>
      <c r="T59" s="6"/>
      <c r="U59" s="6"/>
    </row>
    <row r="60" spans="1:21" ht="22.5" customHeight="1" x14ac:dyDescent="0.25">
      <c r="A60" s="532"/>
      <c r="B60" s="533"/>
      <c r="C60" s="53"/>
      <c r="D60" s="53"/>
      <c r="E60" s="54"/>
      <c r="F60" s="54"/>
      <c r="G60" s="54"/>
      <c r="H60" s="54"/>
      <c r="I60" s="1628"/>
      <c r="J60" s="1629"/>
      <c r="K60" s="1629"/>
      <c r="L60" s="1629"/>
      <c r="M60" s="1630"/>
      <c r="N60" s="6"/>
      <c r="O60" s="6"/>
      <c r="P60" s="6"/>
      <c r="Q60" s="6"/>
      <c r="R60" s="6"/>
      <c r="S60" s="6"/>
      <c r="T60" s="6"/>
      <c r="U60" s="6"/>
    </row>
    <row r="61" spans="1:21" s="14" customFormat="1" ht="98.25" customHeight="1" x14ac:dyDescent="0.25">
      <c r="A61" s="1052" t="s">
        <v>43</v>
      </c>
      <c r="B61" s="1052"/>
      <c r="C61" s="610" t="s">
        <v>876</v>
      </c>
      <c r="D61" s="757" t="s">
        <v>268</v>
      </c>
      <c r="E61" s="614" t="s">
        <v>74</v>
      </c>
      <c r="F61" s="1052" t="s">
        <v>947</v>
      </c>
      <c r="G61" s="1052"/>
      <c r="H61" s="614" t="s">
        <v>948</v>
      </c>
      <c r="I61" s="1884"/>
      <c r="J61" s="1884"/>
      <c r="K61" s="1884"/>
      <c r="L61" s="1884"/>
      <c r="M61" s="1885"/>
    </row>
    <row r="62" spans="1:21" ht="66" customHeight="1" x14ac:dyDescent="0.25">
      <c r="A62" s="1033" t="s">
        <v>773</v>
      </c>
      <c r="B62" s="1034"/>
      <c r="C62" s="691" t="s">
        <v>877</v>
      </c>
      <c r="D62" s="637"/>
      <c r="E62" s="694"/>
      <c r="F62" s="1877"/>
      <c r="G62" s="1877"/>
      <c r="H62" s="695"/>
      <c r="I62" s="1886"/>
      <c r="J62" s="1884"/>
      <c r="K62" s="1884"/>
      <c r="L62" s="1884"/>
      <c r="M62" s="1885"/>
      <c r="N62" s="6"/>
      <c r="O62" s="6"/>
      <c r="P62" s="6"/>
      <c r="Q62" s="6"/>
      <c r="R62" s="6"/>
      <c r="S62" s="6"/>
      <c r="T62" s="6"/>
      <c r="U62" s="6"/>
    </row>
    <row r="63" spans="1:21" ht="67.5" customHeight="1" x14ac:dyDescent="0.25">
      <c r="A63" s="1033" t="s">
        <v>774</v>
      </c>
      <c r="B63" s="1034"/>
      <c r="C63" s="691" t="s">
        <v>878</v>
      </c>
      <c r="D63" s="637"/>
      <c r="E63" s="694"/>
      <c r="F63" s="1877"/>
      <c r="G63" s="1877"/>
      <c r="H63" s="695"/>
      <c r="I63" s="1886"/>
      <c r="J63" s="1884"/>
      <c r="K63" s="1884"/>
      <c r="L63" s="1884"/>
      <c r="M63" s="1885"/>
      <c r="N63" s="6"/>
      <c r="O63" s="6"/>
      <c r="P63" s="6"/>
      <c r="Q63" s="6"/>
      <c r="R63" s="6"/>
      <c r="S63" s="6"/>
      <c r="T63" s="6"/>
      <c r="U63" s="6"/>
    </row>
    <row r="64" spans="1:21" ht="55.5" customHeight="1" x14ac:dyDescent="0.25">
      <c r="A64" s="1033" t="s">
        <v>266</v>
      </c>
      <c r="B64" s="1034"/>
      <c r="C64" s="692" t="s">
        <v>914</v>
      </c>
      <c r="D64" s="637"/>
      <c r="E64" s="694"/>
      <c r="F64" s="1877"/>
      <c r="G64" s="1877"/>
      <c r="H64" s="695"/>
      <c r="I64" s="1886"/>
      <c r="J64" s="1884"/>
      <c r="K64" s="1884"/>
      <c r="L64" s="1884"/>
      <c r="M64" s="1885"/>
      <c r="N64" s="6"/>
      <c r="O64" s="6"/>
      <c r="P64" s="6"/>
      <c r="Q64" s="6"/>
      <c r="R64" s="6"/>
      <c r="S64" s="6"/>
      <c r="T64" s="6"/>
      <c r="U64" s="6"/>
    </row>
    <row r="65" spans="1:21" ht="54.75" customHeight="1" x14ac:dyDescent="0.25">
      <c r="A65" s="1033" t="s">
        <v>267</v>
      </c>
      <c r="B65" s="1034"/>
      <c r="C65" s="692" t="s">
        <v>915</v>
      </c>
      <c r="D65" s="637"/>
      <c r="E65" s="694"/>
      <c r="F65" s="1877"/>
      <c r="G65" s="1877"/>
      <c r="H65" s="695"/>
      <c r="I65" s="1886"/>
      <c r="J65" s="1884"/>
      <c r="K65" s="1884"/>
      <c r="L65" s="1884"/>
      <c r="M65" s="1885"/>
      <c r="N65" s="6"/>
      <c r="O65" s="6"/>
      <c r="P65" s="6"/>
      <c r="Q65" s="6"/>
      <c r="R65" s="6"/>
      <c r="S65" s="6"/>
      <c r="T65" s="6"/>
      <c r="U65" s="6"/>
    </row>
    <row r="66" spans="1:21" ht="54.75" customHeight="1" x14ac:dyDescent="0.25">
      <c r="A66" s="1971" t="s">
        <v>916</v>
      </c>
      <c r="B66" s="1972"/>
      <c r="C66" s="692" t="s">
        <v>917</v>
      </c>
      <c r="D66" s="696"/>
      <c r="E66" s="890"/>
      <c r="F66" s="890"/>
      <c r="G66" s="890"/>
      <c r="H66" s="698"/>
      <c r="I66" s="1886"/>
      <c r="J66" s="1884"/>
      <c r="K66" s="1884"/>
      <c r="L66" s="1884"/>
      <c r="M66" s="1885"/>
      <c r="N66" s="6"/>
      <c r="O66" s="6"/>
      <c r="P66" s="6"/>
      <c r="Q66" s="6"/>
      <c r="R66" s="6"/>
      <c r="S66" s="6"/>
      <c r="T66" s="6"/>
      <c r="U66" s="6"/>
    </row>
    <row r="67" spans="1:21" ht="42.75" customHeight="1" thickBot="1" x14ac:dyDescent="0.3">
      <c r="A67" s="1890" t="s">
        <v>205</v>
      </c>
      <c r="B67" s="1891"/>
      <c r="C67" s="593"/>
      <c r="D67" s="696"/>
      <c r="E67" s="697"/>
      <c r="F67" s="1892"/>
      <c r="G67" s="1892"/>
      <c r="H67" s="698"/>
      <c r="I67" s="1886"/>
      <c r="J67" s="1884"/>
      <c r="K67" s="1884"/>
      <c r="L67" s="1884"/>
      <c r="M67" s="1885"/>
      <c r="N67" s="6"/>
      <c r="O67" s="6"/>
      <c r="P67" s="6"/>
      <c r="Q67" s="6"/>
      <c r="R67" s="6"/>
      <c r="S67" s="6"/>
      <c r="T67" s="6"/>
      <c r="U67" s="6"/>
    </row>
    <row r="68" spans="1:21" ht="19.5" thickBot="1" x14ac:dyDescent="0.35">
      <c r="A68" s="1893" t="s">
        <v>2</v>
      </c>
      <c r="B68" s="1894"/>
      <c r="C68" s="699">
        <f>(D62*1000*0.9)+(D63*1500*0.85)+(D64*1000*0.8)+(D65*1500*0.7)</f>
        <v>0</v>
      </c>
      <c r="D68" s="699"/>
      <c r="E68" s="56">
        <f>SUM(E62:E67)</f>
        <v>0</v>
      </c>
      <c r="F68" s="1062">
        <f>SUM(F62:F67)</f>
        <v>0</v>
      </c>
      <c r="G68" s="1063">
        <f>SUM(G62:G67)</f>
        <v>0</v>
      </c>
      <c r="H68" s="700">
        <f>SUM(H62:H67)</f>
        <v>0</v>
      </c>
      <c r="I68" s="1887"/>
      <c r="J68" s="1888"/>
      <c r="K68" s="1888"/>
      <c r="L68" s="1888"/>
      <c r="M68" s="1889"/>
      <c r="O68" s="6"/>
      <c r="P68" s="6"/>
      <c r="Q68" s="6"/>
      <c r="R68" s="6"/>
      <c r="S68" s="6"/>
      <c r="T68" s="6"/>
      <c r="U68" s="6"/>
    </row>
    <row r="69" spans="1:21" ht="18.75" thickBot="1" x14ac:dyDescent="0.3">
      <c r="A69" s="534"/>
      <c r="B69" s="534"/>
      <c r="C69" s="48"/>
      <c r="D69" s="48"/>
      <c r="E69" s="48"/>
      <c r="F69" s="59"/>
      <c r="G69" s="59"/>
      <c r="H69" s="59"/>
      <c r="I69" s="59"/>
      <c r="J69" s="60"/>
      <c r="K69" s="60"/>
      <c r="L69" s="61"/>
      <c r="M69" s="62"/>
      <c r="O69" s="6"/>
      <c r="P69" s="6"/>
      <c r="Q69" s="6"/>
      <c r="R69" s="6"/>
      <c r="S69" s="6"/>
      <c r="T69" s="6"/>
      <c r="U69" s="6"/>
    </row>
    <row r="70" spans="1:21" ht="18" x14ac:dyDescent="0.25">
      <c r="A70" s="1873" t="s">
        <v>81</v>
      </c>
      <c r="B70" s="1874"/>
      <c r="C70" s="1874"/>
      <c r="D70" s="1874"/>
      <c r="E70" s="1874"/>
      <c r="F70" s="1874"/>
      <c r="G70" s="1874"/>
      <c r="H70" s="1874"/>
      <c r="I70" s="1875"/>
      <c r="J70" s="61"/>
      <c r="K70" s="61"/>
      <c r="L70" s="61"/>
      <c r="M70" s="62"/>
      <c r="O70" s="6"/>
      <c r="P70" s="6"/>
      <c r="Q70" s="6"/>
      <c r="R70" s="6"/>
      <c r="S70" s="6"/>
      <c r="T70" s="6"/>
      <c r="U70" s="6"/>
    </row>
    <row r="71" spans="1:21" ht="28.5" customHeight="1" x14ac:dyDescent="0.25">
      <c r="A71" s="1081" t="s">
        <v>82</v>
      </c>
      <c r="B71" s="1072"/>
      <c r="C71" s="1072"/>
      <c r="D71" s="1072"/>
      <c r="E71" s="1072"/>
      <c r="F71" s="496" t="s">
        <v>83</v>
      </c>
      <c r="G71" s="496" t="s">
        <v>832</v>
      </c>
      <c r="H71" s="1097" t="s">
        <v>85</v>
      </c>
      <c r="I71" s="1098"/>
      <c r="J71" s="61"/>
      <c r="K71" s="62"/>
      <c r="L71" s="63"/>
      <c r="M71" s="13"/>
      <c r="N71" s="6"/>
      <c r="O71" s="6"/>
      <c r="P71" s="6"/>
      <c r="Q71" s="6"/>
      <c r="R71" s="6"/>
      <c r="S71" s="6"/>
      <c r="T71" s="6"/>
      <c r="U71" s="6"/>
    </row>
    <row r="72" spans="1:21" x14ac:dyDescent="0.25">
      <c r="A72" s="1082" t="s">
        <v>86</v>
      </c>
      <c r="B72" s="1083"/>
      <c r="C72" s="1083"/>
      <c r="D72" s="1083"/>
      <c r="E72" s="1083"/>
      <c r="F72" s="535"/>
      <c r="G72" s="536"/>
      <c r="H72" s="1635"/>
      <c r="I72" s="1636"/>
      <c r="J72" s="61"/>
      <c r="K72" s="62"/>
      <c r="L72" s="63"/>
      <c r="M72" s="13"/>
      <c r="N72" s="6"/>
      <c r="O72" s="6"/>
      <c r="P72" s="6"/>
      <c r="Q72" s="6"/>
      <c r="R72" s="6"/>
      <c r="S72" s="6"/>
      <c r="T72" s="6"/>
      <c r="U72" s="6"/>
    </row>
    <row r="73" spans="1:21" x14ac:dyDescent="0.25">
      <c r="A73" s="1082" t="s">
        <v>87</v>
      </c>
      <c r="B73" s="1083"/>
      <c r="C73" s="1083"/>
      <c r="D73" s="1083"/>
      <c r="E73" s="1083"/>
      <c r="F73" s="535"/>
      <c r="G73" s="536"/>
      <c r="H73" s="1635"/>
      <c r="I73" s="1636"/>
      <c r="J73" s="61"/>
      <c r="K73" s="62"/>
      <c r="L73" s="63"/>
      <c r="M73" s="13"/>
      <c r="N73" s="6"/>
      <c r="O73" s="6"/>
      <c r="P73" s="6"/>
      <c r="Q73" s="6"/>
      <c r="R73" s="6"/>
      <c r="S73" s="6"/>
      <c r="T73" s="6"/>
      <c r="U73" s="6"/>
    </row>
    <row r="74" spans="1:21" x14ac:dyDescent="0.25">
      <c r="A74" s="1082" t="s">
        <v>88</v>
      </c>
      <c r="B74" s="1083"/>
      <c r="C74" s="1083"/>
      <c r="D74" s="1083"/>
      <c r="E74" s="1083"/>
      <c r="F74" s="535"/>
      <c r="G74" s="536"/>
      <c r="H74" s="1635"/>
      <c r="I74" s="1636"/>
      <c r="J74" s="61"/>
      <c r="K74" s="62"/>
      <c r="L74" s="63"/>
      <c r="M74" s="13"/>
      <c r="N74" s="6"/>
      <c r="O74" s="6"/>
      <c r="P74" s="6"/>
      <c r="Q74" s="6"/>
      <c r="R74" s="6"/>
      <c r="S74" s="6"/>
      <c r="T74" s="6"/>
      <c r="U74" s="6"/>
    </row>
    <row r="75" spans="1:21" ht="15" customHeight="1" thickBot="1" x14ac:dyDescent="0.3">
      <c r="A75" s="1086" t="s">
        <v>89</v>
      </c>
      <c r="B75" s="1087"/>
      <c r="C75" s="1087"/>
      <c r="D75" s="1087"/>
      <c r="E75" s="1087"/>
      <c r="F75" s="537"/>
      <c r="G75" s="538"/>
      <c r="H75" s="1776"/>
      <c r="I75" s="1876"/>
      <c r="J75" s="61"/>
      <c r="K75" s="62"/>
      <c r="L75" s="63"/>
      <c r="M75" s="13"/>
      <c r="N75" s="6"/>
      <c r="O75" s="6"/>
      <c r="P75" s="6"/>
      <c r="Q75" s="6"/>
      <c r="R75" s="6"/>
      <c r="S75" s="6"/>
      <c r="T75" s="6"/>
      <c r="U75" s="6"/>
    </row>
    <row r="76" spans="1:21" ht="15.75" thickBot="1" x14ac:dyDescent="0.3">
      <c r="A76" s="1090" t="s">
        <v>2</v>
      </c>
      <c r="B76" s="1091"/>
      <c r="C76" s="1091"/>
      <c r="D76" s="1091"/>
      <c r="E76" s="1091"/>
      <c r="F76" s="64">
        <f>SUM(F72:F75)</f>
        <v>0</v>
      </c>
      <c r="G76" s="64">
        <f>SUM(G72:G75)</f>
        <v>0</v>
      </c>
      <c r="H76" s="1092">
        <f>SUM(H72:I75)</f>
        <v>0</v>
      </c>
      <c r="I76" s="1093"/>
      <c r="J76" s="61"/>
      <c r="K76" s="62"/>
      <c r="L76" s="63"/>
      <c r="M76" s="13"/>
      <c r="N76" s="6"/>
      <c r="O76" s="6"/>
      <c r="P76" s="6"/>
      <c r="Q76" s="6"/>
      <c r="R76" s="6"/>
      <c r="S76" s="6"/>
      <c r="T76" s="6"/>
      <c r="U76" s="6"/>
    </row>
    <row r="77" spans="1:21" ht="15.75" thickBot="1" x14ac:dyDescent="0.3">
      <c r="A77" s="539"/>
      <c r="B77" s="701"/>
      <c r="C77" s="48"/>
      <c r="D77" s="59"/>
      <c r="E77" s="48"/>
      <c r="F77" s="59"/>
      <c r="G77" s="48"/>
      <c r="H77" s="59"/>
      <c r="I77" s="48"/>
      <c r="J77" s="61"/>
      <c r="K77" s="61"/>
      <c r="L77" s="61"/>
      <c r="M77" s="62"/>
      <c r="O77" s="6"/>
      <c r="P77" s="6"/>
      <c r="Q77" s="6"/>
      <c r="R77" s="6"/>
      <c r="S77" s="6"/>
      <c r="T77" s="6"/>
      <c r="U77" s="6"/>
    </row>
    <row r="78" spans="1:21" ht="18.75" thickBot="1" x14ac:dyDescent="0.3">
      <c r="A78" s="1738" t="s">
        <v>775</v>
      </c>
      <c r="B78" s="1738"/>
      <c r="C78" s="1738"/>
      <c r="D78" s="1738"/>
      <c r="E78" s="1738"/>
      <c r="F78" s="1738"/>
      <c r="G78" s="1738"/>
      <c r="H78" s="1739"/>
      <c r="I78" s="1640" t="s">
        <v>40</v>
      </c>
      <c r="J78" s="1641"/>
      <c r="K78" s="1641"/>
      <c r="L78" s="1641"/>
      <c r="M78" s="1642"/>
      <c r="O78" s="6"/>
      <c r="P78" s="6"/>
      <c r="Q78" s="6"/>
      <c r="R78" s="6"/>
      <c r="S78" s="6"/>
      <c r="T78" s="6"/>
      <c r="U78" s="6"/>
    </row>
    <row r="79" spans="1:21" ht="78.75" customHeight="1" x14ac:dyDescent="0.25">
      <c r="A79" s="1302" t="s">
        <v>43</v>
      </c>
      <c r="B79" s="1303" t="s">
        <v>560</v>
      </c>
      <c r="C79" s="1303" t="s">
        <v>854</v>
      </c>
      <c r="D79" s="1303" t="s">
        <v>855</v>
      </c>
      <c r="E79" s="1749" t="s">
        <v>856</v>
      </c>
      <c r="F79" s="1749" t="s">
        <v>857</v>
      </c>
      <c r="G79" s="1748" t="s">
        <v>557</v>
      </c>
      <c r="H79" s="1746" t="s">
        <v>851</v>
      </c>
      <c r="I79" s="1740"/>
      <c r="J79" s="1741"/>
      <c r="K79" s="1741"/>
      <c r="L79" s="1741"/>
      <c r="M79" s="1742"/>
      <c r="O79" s="6"/>
      <c r="P79" s="6"/>
      <c r="Q79" s="6"/>
      <c r="R79" s="6"/>
      <c r="S79" s="6"/>
      <c r="T79" s="6"/>
      <c r="U79" s="6"/>
    </row>
    <row r="80" spans="1:21" ht="29.25" customHeight="1" x14ac:dyDescent="0.25">
      <c r="A80" s="1304"/>
      <c r="B80" s="1071"/>
      <c r="C80" s="1071"/>
      <c r="D80" s="1071"/>
      <c r="E80" s="1280"/>
      <c r="F80" s="1280"/>
      <c r="G80" s="1114"/>
      <c r="H80" s="1747"/>
      <c r="I80" s="1740"/>
      <c r="J80" s="1741"/>
      <c r="K80" s="1741"/>
      <c r="L80" s="1741"/>
      <c r="M80" s="1742"/>
      <c r="O80" s="6"/>
      <c r="P80" s="6"/>
      <c r="Q80" s="6"/>
      <c r="R80" s="6"/>
      <c r="S80" s="6"/>
      <c r="T80" s="6"/>
      <c r="U80" s="6"/>
    </row>
    <row r="81" spans="1:21" s="32" customFormat="1" ht="16.5" thickBot="1" x14ac:dyDescent="0.3">
      <c r="A81" s="797" t="s">
        <v>2</v>
      </c>
      <c r="B81" s="798"/>
      <c r="C81" s="801"/>
      <c r="D81" s="801"/>
      <c r="E81" s="801"/>
      <c r="F81" s="802"/>
      <c r="G81" s="800">
        <f>$D$4*(COUNTIF(B5,"Rural")*(H9/10)*188000+(H12/10)*338000+COUNTIF(B5,"Urban")*(H9/10)*233000+COUNTIF(B5,"Tribal/Hilly")*(H9/10)*188000)</f>
        <v>0</v>
      </c>
      <c r="H81" s="799"/>
      <c r="I81" s="1743"/>
      <c r="J81" s="1744"/>
      <c r="K81" s="1744"/>
      <c r="L81" s="1744"/>
      <c r="M81" s="1745"/>
    </row>
    <row r="82" spans="1:21" ht="13.5" customHeight="1" x14ac:dyDescent="0.25">
      <c r="A82" s="540"/>
      <c r="B82" s="540"/>
      <c r="C82" s="67"/>
      <c r="D82" s="67"/>
      <c r="E82" s="67"/>
      <c r="F82" s="67"/>
      <c r="G82" s="67"/>
      <c r="H82" s="67"/>
      <c r="I82" s="48"/>
      <c r="J82" s="48"/>
      <c r="O82" s="6"/>
      <c r="P82" s="6"/>
      <c r="Q82" s="6"/>
      <c r="R82" s="6"/>
      <c r="S82" s="6"/>
      <c r="T82" s="6"/>
      <c r="U82" s="6"/>
    </row>
    <row r="83" spans="1:21" ht="13.5" customHeight="1" thickBot="1" x14ac:dyDescent="0.3">
      <c r="A83" s="540"/>
      <c r="B83" s="540"/>
      <c r="C83" s="67"/>
      <c r="D83" s="67"/>
      <c r="E83" s="67"/>
      <c r="F83" s="67"/>
      <c r="G83" s="67"/>
      <c r="H83" s="67"/>
      <c r="I83" s="48"/>
      <c r="J83" s="48"/>
      <c r="O83" s="6"/>
      <c r="P83" s="6"/>
      <c r="Q83" s="6"/>
      <c r="R83" s="6"/>
      <c r="S83" s="6"/>
      <c r="T83" s="6"/>
      <c r="U83" s="6"/>
    </row>
    <row r="84" spans="1:21" ht="42.75" customHeight="1" x14ac:dyDescent="0.25">
      <c r="A84" s="1667" t="s">
        <v>776</v>
      </c>
      <c r="B84" s="1669" t="s">
        <v>777</v>
      </c>
      <c r="C84" s="1669" t="s">
        <v>778</v>
      </c>
      <c r="D84" s="1674" t="s">
        <v>779</v>
      </c>
      <c r="E84" s="1674"/>
      <c r="F84" s="1674"/>
      <c r="G84" s="1674"/>
      <c r="H84" s="1674"/>
      <c r="I84" s="1675" t="s">
        <v>780</v>
      </c>
      <c r="J84" s="48"/>
      <c r="O84" s="6"/>
      <c r="P84" s="6"/>
      <c r="Q84" s="6"/>
      <c r="R84" s="6"/>
      <c r="S84" s="6"/>
      <c r="T84" s="6"/>
      <c r="U84" s="6"/>
    </row>
    <row r="85" spans="1:21" ht="13.5" customHeight="1" x14ac:dyDescent="0.25">
      <c r="A85" s="1668"/>
      <c r="B85" s="1670"/>
      <c r="C85" s="1670"/>
      <c r="D85" s="708" t="s">
        <v>271</v>
      </c>
      <c r="E85" s="708" t="s">
        <v>272</v>
      </c>
      <c r="F85" s="708" t="s">
        <v>269</v>
      </c>
      <c r="G85" s="708" t="s">
        <v>270</v>
      </c>
      <c r="H85" s="708" t="s">
        <v>163</v>
      </c>
      <c r="I85" s="1676"/>
      <c r="J85" s="48"/>
      <c r="O85" s="6"/>
      <c r="P85" s="6"/>
      <c r="Q85" s="6"/>
      <c r="R85" s="6"/>
      <c r="S85" s="6"/>
      <c r="T85" s="6"/>
      <c r="U85" s="6"/>
    </row>
    <row r="86" spans="1:21" ht="13.5" customHeight="1" x14ac:dyDescent="0.25">
      <c r="A86" s="702" t="s">
        <v>781</v>
      </c>
      <c r="B86" s="588"/>
      <c r="C86" s="711"/>
      <c r="D86" s="711"/>
      <c r="E86" s="711"/>
      <c r="F86" s="711"/>
      <c r="G86" s="711"/>
      <c r="H86" s="711">
        <f>SUM(D86:G86)</f>
        <v>0</v>
      </c>
      <c r="I86" s="709"/>
      <c r="J86" s="48"/>
      <c r="O86" s="6"/>
      <c r="P86" s="6"/>
      <c r="Q86" s="6"/>
      <c r="R86" s="6"/>
      <c r="S86" s="6"/>
      <c r="T86" s="6"/>
      <c r="U86" s="6"/>
    </row>
    <row r="87" spans="1:21" ht="30" x14ac:dyDescent="0.25">
      <c r="A87" s="702" t="s">
        <v>782</v>
      </c>
      <c r="B87" s="588"/>
      <c r="C87" s="711"/>
      <c r="D87" s="711"/>
      <c r="E87" s="711"/>
      <c r="F87" s="711"/>
      <c r="G87" s="711"/>
      <c r="H87" s="711">
        <f t="shared" ref="H87:H98" si="4">SUM(D87:G87)</f>
        <v>0</v>
      </c>
      <c r="I87" s="709"/>
      <c r="J87" s="48"/>
      <c r="O87" s="6"/>
      <c r="P87" s="6"/>
      <c r="Q87" s="6"/>
      <c r="R87" s="6"/>
      <c r="S87" s="6"/>
      <c r="T87" s="6"/>
      <c r="U87" s="6"/>
    </row>
    <row r="88" spans="1:21" ht="13.5" customHeight="1" x14ac:dyDescent="0.25">
      <c r="A88" s="702" t="s">
        <v>783</v>
      </c>
      <c r="B88" s="588"/>
      <c r="C88" s="711"/>
      <c r="D88" s="711"/>
      <c r="E88" s="711"/>
      <c r="F88" s="711"/>
      <c r="G88" s="711"/>
      <c r="H88" s="711">
        <f t="shared" si="4"/>
        <v>0</v>
      </c>
      <c r="I88" s="709"/>
      <c r="J88" s="48"/>
      <c r="L88" s="608"/>
      <c r="O88" s="6"/>
      <c r="P88" s="6"/>
      <c r="Q88" s="6"/>
      <c r="R88" s="6"/>
      <c r="S88" s="6"/>
      <c r="T88" s="6"/>
      <c r="U88" s="6"/>
    </row>
    <row r="89" spans="1:21" ht="13.5" customHeight="1" x14ac:dyDescent="0.25">
      <c r="A89" s="702" t="s">
        <v>784</v>
      </c>
      <c r="B89" s="588"/>
      <c r="C89" s="711"/>
      <c r="D89" s="711"/>
      <c r="E89" s="711"/>
      <c r="F89" s="711"/>
      <c r="G89" s="711"/>
      <c r="H89" s="711">
        <f t="shared" si="4"/>
        <v>0</v>
      </c>
      <c r="I89" s="709"/>
      <c r="J89" s="48"/>
      <c r="L89" s="608"/>
      <c r="O89" s="6"/>
      <c r="P89" s="6"/>
      <c r="Q89" s="6"/>
      <c r="R89" s="6"/>
      <c r="S89" s="6"/>
      <c r="T89" s="6"/>
      <c r="U89" s="6"/>
    </row>
    <row r="90" spans="1:21" ht="13.5" customHeight="1" x14ac:dyDescent="0.25">
      <c r="A90" s="702" t="s">
        <v>785</v>
      </c>
      <c r="B90" s="588"/>
      <c r="C90" s="711"/>
      <c r="D90" s="711"/>
      <c r="E90" s="711"/>
      <c r="F90" s="711"/>
      <c r="G90" s="711"/>
      <c r="H90" s="711">
        <f t="shared" si="4"/>
        <v>0</v>
      </c>
      <c r="I90" s="709"/>
      <c r="J90" s="48"/>
      <c r="O90" s="6"/>
      <c r="P90" s="6"/>
      <c r="Q90" s="6"/>
      <c r="R90" s="6"/>
      <c r="S90" s="6"/>
      <c r="T90" s="6"/>
      <c r="U90" s="6"/>
    </row>
    <row r="91" spans="1:21" ht="13.5" customHeight="1" x14ac:dyDescent="0.25">
      <c r="A91" s="703"/>
      <c r="B91" s="588"/>
      <c r="C91" s="711"/>
      <c r="D91" s="711"/>
      <c r="E91" s="711"/>
      <c r="F91" s="711"/>
      <c r="G91" s="711"/>
      <c r="H91" s="711">
        <f t="shared" si="4"/>
        <v>0</v>
      </c>
      <c r="I91" s="709"/>
      <c r="J91" s="48"/>
      <c r="O91" s="6"/>
      <c r="P91" s="6"/>
      <c r="Q91" s="6"/>
      <c r="R91" s="6"/>
      <c r="S91" s="6"/>
      <c r="T91" s="6"/>
      <c r="U91" s="6"/>
    </row>
    <row r="92" spans="1:21" ht="13.5" customHeight="1" x14ac:dyDescent="0.25">
      <c r="A92" s="703"/>
      <c r="B92" s="588"/>
      <c r="C92" s="711"/>
      <c r="D92" s="711"/>
      <c r="E92" s="711"/>
      <c r="F92" s="711"/>
      <c r="G92" s="711"/>
      <c r="H92" s="711">
        <f t="shared" si="4"/>
        <v>0</v>
      </c>
      <c r="I92" s="709"/>
      <c r="J92" s="48"/>
      <c r="O92" s="6"/>
      <c r="P92" s="6"/>
      <c r="Q92" s="6"/>
      <c r="R92" s="6"/>
      <c r="S92" s="6"/>
      <c r="T92" s="6"/>
      <c r="U92" s="6"/>
    </row>
    <row r="93" spans="1:21" ht="13.5" customHeight="1" x14ac:dyDescent="0.25">
      <c r="A93" s="703"/>
      <c r="B93" s="588"/>
      <c r="C93" s="711"/>
      <c r="D93" s="711"/>
      <c r="E93" s="711"/>
      <c r="F93" s="711"/>
      <c r="G93" s="711"/>
      <c r="H93" s="711">
        <f t="shared" si="4"/>
        <v>0</v>
      </c>
      <c r="I93" s="709"/>
      <c r="J93" s="48"/>
      <c r="O93" s="6"/>
      <c r="P93" s="6"/>
      <c r="Q93" s="6"/>
      <c r="R93" s="6"/>
      <c r="S93" s="6"/>
      <c r="T93" s="6"/>
      <c r="U93" s="6"/>
    </row>
    <row r="94" spans="1:21" ht="13.5" customHeight="1" x14ac:dyDescent="0.25">
      <c r="A94" s="703"/>
      <c r="B94" s="588"/>
      <c r="C94" s="711"/>
      <c r="D94" s="711"/>
      <c r="E94" s="711"/>
      <c r="F94" s="711"/>
      <c r="G94" s="711"/>
      <c r="H94" s="711">
        <f t="shared" si="4"/>
        <v>0</v>
      </c>
      <c r="I94" s="709"/>
      <c r="J94" s="48"/>
      <c r="O94" s="6"/>
      <c r="P94" s="6"/>
      <c r="Q94" s="6"/>
      <c r="R94" s="6"/>
      <c r="S94" s="6"/>
      <c r="T94" s="6"/>
      <c r="U94" s="6"/>
    </row>
    <row r="95" spans="1:21" ht="13.5" customHeight="1" x14ac:dyDescent="0.25">
      <c r="A95" s="703"/>
      <c r="B95" s="588"/>
      <c r="C95" s="711"/>
      <c r="D95" s="711"/>
      <c r="E95" s="711"/>
      <c r="F95" s="711"/>
      <c r="G95" s="711"/>
      <c r="H95" s="711">
        <f t="shared" si="4"/>
        <v>0</v>
      </c>
      <c r="I95" s="709"/>
      <c r="J95" s="48"/>
      <c r="O95" s="6"/>
      <c r="P95" s="6"/>
      <c r="Q95" s="6"/>
      <c r="R95" s="6"/>
      <c r="S95" s="6"/>
      <c r="T95" s="6"/>
      <c r="U95" s="6"/>
    </row>
    <row r="96" spans="1:21" ht="13.5" customHeight="1" x14ac:dyDescent="0.25">
      <c r="A96" s="703"/>
      <c r="B96" s="588"/>
      <c r="C96" s="711"/>
      <c r="D96" s="711"/>
      <c r="E96" s="711"/>
      <c r="F96" s="711"/>
      <c r="G96" s="711"/>
      <c r="H96" s="711">
        <f t="shared" si="4"/>
        <v>0</v>
      </c>
      <c r="I96" s="709"/>
      <c r="J96" s="48"/>
      <c r="O96" s="6"/>
      <c r="P96" s="6"/>
      <c r="Q96" s="6"/>
      <c r="R96" s="6"/>
      <c r="S96" s="6"/>
      <c r="T96" s="6"/>
      <c r="U96" s="6"/>
    </row>
    <row r="97" spans="1:21" ht="13.5" customHeight="1" x14ac:dyDescent="0.25">
      <c r="A97" s="703"/>
      <c r="B97" s="588"/>
      <c r="C97" s="711"/>
      <c r="D97" s="711"/>
      <c r="E97" s="711"/>
      <c r="F97" s="711"/>
      <c r="G97" s="711"/>
      <c r="H97" s="711">
        <f t="shared" si="4"/>
        <v>0</v>
      </c>
      <c r="I97" s="709"/>
      <c r="J97" s="48"/>
      <c r="O97" s="6"/>
      <c r="P97" s="6"/>
      <c r="Q97" s="6"/>
      <c r="R97" s="6"/>
      <c r="S97" s="6"/>
      <c r="T97" s="6"/>
      <c r="U97" s="6"/>
    </row>
    <row r="98" spans="1:21" ht="13.5" customHeight="1" thickBot="1" x14ac:dyDescent="0.3">
      <c r="A98" s="704"/>
      <c r="B98" s="712"/>
      <c r="C98" s="713"/>
      <c r="D98" s="713"/>
      <c r="E98" s="713"/>
      <c r="F98" s="713"/>
      <c r="G98" s="713"/>
      <c r="H98" s="711">
        <f t="shared" si="4"/>
        <v>0</v>
      </c>
      <c r="I98" s="710"/>
      <c r="J98" s="48"/>
      <c r="O98" s="6"/>
      <c r="P98" s="6"/>
      <c r="Q98" s="6"/>
      <c r="R98" s="6"/>
      <c r="S98" s="6"/>
      <c r="T98" s="6"/>
      <c r="U98" s="6"/>
    </row>
    <row r="99" spans="1:21" ht="13.5" customHeight="1" thickBot="1" x14ac:dyDescent="0.3">
      <c r="A99" s="705" t="s">
        <v>2</v>
      </c>
      <c r="B99" s="706">
        <f t="shared" ref="B99:H99" si="5">SUM(B86:B98)</f>
        <v>0</v>
      </c>
      <c r="C99" s="706">
        <f t="shared" si="5"/>
        <v>0</v>
      </c>
      <c r="D99" s="706">
        <f t="shared" si="5"/>
        <v>0</v>
      </c>
      <c r="E99" s="706">
        <f t="shared" si="5"/>
        <v>0</v>
      </c>
      <c r="F99" s="706">
        <f t="shared" si="5"/>
        <v>0</v>
      </c>
      <c r="G99" s="706">
        <f t="shared" si="5"/>
        <v>0</v>
      </c>
      <c r="H99" s="706">
        <f t="shared" si="5"/>
        <v>0</v>
      </c>
      <c r="I99" s="707">
        <f>SUM(I86:I98)</f>
        <v>0</v>
      </c>
      <c r="J99" s="48"/>
      <c r="O99" s="6"/>
      <c r="P99" s="6"/>
      <c r="Q99" s="6"/>
      <c r="R99" s="6"/>
      <c r="S99" s="6"/>
      <c r="T99" s="6"/>
      <c r="U99" s="6"/>
    </row>
    <row r="100" spans="1:21" ht="13.5" customHeight="1" thickBot="1" x14ac:dyDescent="0.3">
      <c r="A100" s="540"/>
      <c r="B100" s="540"/>
      <c r="C100" s="67"/>
      <c r="D100" s="67"/>
      <c r="E100" s="67"/>
      <c r="F100" s="67"/>
      <c r="G100" s="67"/>
      <c r="H100" s="67"/>
      <c r="I100" s="48"/>
      <c r="J100" s="48"/>
      <c r="O100" s="6"/>
      <c r="P100" s="6"/>
      <c r="Q100" s="6"/>
      <c r="R100" s="6"/>
      <c r="S100" s="6"/>
      <c r="T100" s="6"/>
      <c r="U100" s="6"/>
    </row>
    <row r="101" spans="1:21" ht="18" x14ac:dyDescent="0.25">
      <c r="A101" s="1393" t="s">
        <v>786</v>
      </c>
      <c r="B101" s="1394"/>
      <c r="C101" s="1394"/>
      <c r="D101" s="1394"/>
      <c r="E101" s="1394"/>
      <c r="F101" s="1394"/>
      <c r="G101" s="1394"/>
      <c r="H101" s="1394"/>
      <c r="I101" s="1858" t="s">
        <v>40</v>
      </c>
      <c r="J101" s="1859"/>
      <c r="K101" s="1859"/>
      <c r="L101" s="1859"/>
      <c r="M101" s="1860"/>
      <c r="N101" s="6"/>
      <c r="O101" s="6"/>
      <c r="P101" s="6"/>
      <c r="Q101" s="6"/>
      <c r="R101" s="6"/>
      <c r="S101" s="6"/>
      <c r="T101" s="6"/>
      <c r="U101" s="6"/>
    </row>
    <row r="102" spans="1:21" ht="13.5" customHeight="1" x14ac:dyDescent="0.25">
      <c r="A102" s="541"/>
      <c r="B102" s="542"/>
      <c r="C102" s="68"/>
      <c r="D102" s="69"/>
      <c r="E102" s="68"/>
      <c r="F102" s="68"/>
      <c r="G102" s="68"/>
      <c r="H102" s="68"/>
      <c r="I102" s="1861"/>
      <c r="J102" s="1862"/>
      <c r="K102" s="1862"/>
      <c r="L102" s="1862"/>
      <c r="M102" s="1863"/>
      <c r="N102" s="6"/>
      <c r="O102" s="6"/>
      <c r="P102" s="6"/>
      <c r="Q102" s="6"/>
      <c r="R102" s="6"/>
      <c r="S102" s="6"/>
      <c r="T102" s="6"/>
      <c r="U102" s="6"/>
    </row>
    <row r="103" spans="1:21" s="71" customFormat="1" ht="57" customHeight="1" x14ac:dyDescent="0.25">
      <c r="A103" s="1105" t="s">
        <v>91</v>
      </c>
      <c r="B103" s="1106"/>
      <c r="C103" s="495" t="s">
        <v>787</v>
      </c>
      <c r="D103" s="543" t="s">
        <v>92</v>
      </c>
      <c r="E103" s="382" t="s">
        <v>74</v>
      </c>
      <c r="F103" s="382" t="s">
        <v>840</v>
      </c>
      <c r="G103" s="1673" t="s">
        <v>831</v>
      </c>
      <c r="H103" s="1673"/>
      <c r="I103" s="1861"/>
      <c r="J103" s="1862"/>
      <c r="K103" s="1862"/>
      <c r="L103" s="1862"/>
      <c r="M103" s="1863"/>
    </row>
    <row r="104" spans="1:21" s="494" customFormat="1" ht="73.5" customHeight="1" x14ac:dyDescent="0.25">
      <c r="A104" s="1718" t="s">
        <v>94</v>
      </c>
      <c r="B104" s="1719"/>
      <c r="C104" s="544"/>
      <c r="D104" s="714">
        <f>$D$4*C104*45000</f>
        <v>0</v>
      </c>
      <c r="E104" s="638"/>
      <c r="F104" s="638"/>
      <c r="G104" s="1672"/>
      <c r="H104" s="1677"/>
      <c r="I104" s="1678"/>
      <c r="J104" s="1679"/>
      <c r="K104" s="1679"/>
      <c r="L104" s="1679"/>
      <c r="M104" s="1680"/>
    </row>
    <row r="105" spans="1:21" ht="28.5" customHeight="1" x14ac:dyDescent="0.25">
      <c r="A105" s="1033" t="s">
        <v>95</v>
      </c>
      <c r="B105" s="1034"/>
      <c r="C105" s="587"/>
      <c r="D105" s="617">
        <f>$D$4*C105*2000</f>
        <v>0</v>
      </c>
      <c r="E105" s="638"/>
      <c r="F105" s="638"/>
      <c r="G105" s="1671"/>
      <c r="H105" s="1672"/>
      <c r="I105" s="1681"/>
      <c r="J105" s="1682"/>
      <c r="K105" s="1682"/>
      <c r="L105" s="1682"/>
      <c r="M105" s="1683"/>
      <c r="N105" s="6"/>
      <c r="O105" s="6"/>
      <c r="P105" s="6"/>
      <c r="Q105" s="6"/>
      <c r="R105" s="6"/>
      <c r="S105" s="6"/>
      <c r="T105" s="6"/>
      <c r="U105" s="6"/>
    </row>
    <row r="106" spans="1:21" ht="28.5" customHeight="1" x14ac:dyDescent="0.25">
      <c r="A106" s="1033" t="s">
        <v>96</v>
      </c>
      <c r="B106" s="1034"/>
      <c r="C106" s="587"/>
      <c r="D106" s="617">
        <f>$D$4*C106*5000</f>
        <v>0</v>
      </c>
      <c r="E106" s="638"/>
      <c r="F106" s="638"/>
      <c r="G106" s="1671"/>
      <c r="H106" s="1672"/>
      <c r="I106" s="1681"/>
      <c r="J106" s="1682"/>
      <c r="K106" s="1682"/>
      <c r="L106" s="1682"/>
      <c r="M106" s="1683"/>
      <c r="N106" s="6"/>
      <c r="O106" s="6"/>
      <c r="P106" s="6"/>
      <c r="Q106" s="6"/>
      <c r="R106" s="6"/>
      <c r="S106" s="6"/>
      <c r="T106" s="6"/>
      <c r="U106" s="6"/>
    </row>
    <row r="107" spans="1:21" ht="28.5" customHeight="1" x14ac:dyDescent="0.25">
      <c r="A107" s="1033" t="s">
        <v>97</v>
      </c>
      <c r="B107" s="1034"/>
      <c r="C107" s="587"/>
      <c r="D107" s="617">
        <f>$D$4*C107*92000</f>
        <v>0</v>
      </c>
      <c r="E107" s="638"/>
      <c r="F107" s="638"/>
      <c r="G107" s="1671"/>
      <c r="H107" s="1672"/>
      <c r="I107" s="1681"/>
      <c r="J107" s="1682"/>
      <c r="K107" s="1682"/>
      <c r="L107" s="1682"/>
      <c r="M107" s="1683"/>
      <c r="N107" s="6"/>
      <c r="O107" s="6"/>
      <c r="P107" s="6"/>
      <c r="Q107" s="6"/>
      <c r="R107" s="6"/>
      <c r="S107" s="6"/>
      <c r="T107" s="6"/>
      <c r="U107" s="6"/>
    </row>
    <row r="108" spans="1:21" ht="28.5" customHeight="1" x14ac:dyDescent="0.25">
      <c r="A108" s="1033" t="s">
        <v>98</v>
      </c>
      <c r="B108" s="1034"/>
      <c r="C108" s="587"/>
      <c r="D108" s="617">
        <f>$D$4*C108*45000</f>
        <v>0</v>
      </c>
      <c r="E108" s="638"/>
      <c r="F108" s="638"/>
      <c r="G108" s="1671"/>
      <c r="H108" s="1672"/>
      <c r="I108" s="1681"/>
      <c r="J108" s="1682"/>
      <c r="K108" s="1682"/>
      <c r="L108" s="1682"/>
      <c r="M108" s="1683"/>
      <c r="N108" s="6"/>
      <c r="O108" s="6"/>
      <c r="P108" s="6"/>
      <c r="Q108" s="6"/>
      <c r="R108" s="6"/>
      <c r="S108" s="6"/>
      <c r="T108" s="6"/>
      <c r="U108" s="6"/>
    </row>
    <row r="109" spans="1:21" ht="28.5" customHeight="1" x14ac:dyDescent="0.25">
      <c r="A109" s="1033" t="s">
        <v>99</v>
      </c>
      <c r="B109" s="1034"/>
      <c r="C109" s="587"/>
      <c r="D109" s="617">
        <f>$D$4*C109*681000+$D$4*C109*45000</f>
        <v>0</v>
      </c>
      <c r="E109" s="638"/>
      <c r="F109" s="638"/>
      <c r="G109" s="1671"/>
      <c r="H109" s="1672"/>
      <c r="I109" s="1681"/>
      <c r="J109" s="1682"/>
      <c r="K109" s="1682"/>
      <c r="L109" s="1682"/>
      <c r="M109" s="1683"/>
      <c r="N109" s="6"/>
      <c r="O109" s="6"/>
      <c r="P109" s="6"/>
      <c r="Q109" s="6"/>
      <c r="R109" s="6"/>
      <c r="S109" s="6"/>
      <c r="T109" s="6"/>
      <c r="U109" s="6"/>
    </row>
    <row r="110" spans="1:21" ht="28.5" customHeight="1" x14ac:dyDescent="0.25">
      <c r="A110" s="1033" t="s">
        <v>829</v>
      </c>
      <c r="B110" s="1034"/>
      <c r="C110" s="587"/>
      <c r="D110" s="617" t="s">
        <v>830</v>
      </c>
      <c r="E110" s="638"/>
      <c r="F110" s="638"/>
      <c r="G110" s="1671"/>
      <c r="H110" s="1672"/>
      <c r="I110" s="1681"/>
      <c r="J110" s="1682"/>
      <c r="K110" s="1682"/>
      <c r="L110" s="1682"/>
      <c r="M110" s="1683"/>
      <c r="N110" s="6"/>
      <c r="O110" s="6"/>
      <c r="P110" s="6"/>
      <c r="Q110" s="6"/>
      <c r="R110" s="6"/>
      <c r="S110" s="6"/>
      <c r="T110" s="6"/>
      <c r="U110" s="6"/>
    </row>
    <row r="111" spans="1:21" ht="28.5" customHeight="1" x14ac:dyDescent="0.25">
      <c r="A111" s="1144" t="s">
        <v>828</v>
      </c>
      <c r="B111" s="1868"/>
      <c r="C111" s="587"/>
      <c r="D111" s="617" t="s">
        <v>830</v>
      </c>
      <c r="E111" s="638"/>
      <c r="F111" s="638"/>
      <c r="G111" s="1671"/>
      <c r="H111" s="1672"/>
      <c r="I111" s="1681"/>
      <c r="J111" s="1682"/>
      <c r="K111" s="1682"/>
      <c r="L111" s="1682"/>
      <c r="M111" s="1683"/>
      <c r="N111" s="6"/>
      <c r="O111" s="6"/>
      <c r="P111" s="6"/>
      <c r="Q111" s="6"/>
      <c r="R111" s="6"/>
      <c r="S111" s="6"/>
      <c r="T111" s="6"/>
      <c r="U111" s="6"/>
    </row>
    <row r="112" spans="1:21" ht="28.5" customHeight="1" x14ac:dyDescent="0.25">
      <c r="A112" s="1144" t="s">
        <v>101</v>
      </c>
      <c r="B112" s="1868"/>
      <c r="C112" s="587"/>
      <c r="D112" s="617">
        <f>$D$4*C112*1000</f>
        <v>0</v>
      </c>
      <c r="E112" s="638"/>
      <c r="F112" s="638"/>
      <c r="G112" s="1671"/>
      <c r="H112" s="1672"/>
      <c r="I112" s="1681"/>
      <c r="J112" s="1682"/>
      <c r="K112" s="1682"/>
      <c r="L112" s="1682"/>
      <c r="M112" s="1683"/>
      <c r="N112" s="6"/>
      <c r="O112" s="6"/>
      <c r="P112" s="6"/>
      <c r="Q112" s="6"/>
      <c r="R112" s="6"/>
      <c r="S112" s="6"/>
      <c r="T112" s="6"/>
      <c r="U112" s="6"/>
    </row>
    <row r="113" spans="1:21" ht="28.5" customHeight="1" x14ac:dyDescent="0.25">
      <c r="A113" s="1869"/>
      <c r="B113" s="1870"/>
      <c r="C113" s="618"/>
      <c r="D113" s="715"/>
      <c r="E113" s="613"/>
      <c r="F113" s="638"/>
      <c r="G113" s="1671"/>
      <c r="H113" s="1672"/>
      <c r="I113" s="1681"/>
      <c r="J113" s="1682"/>
      <c r="K113" s="1682"/>
      <c r="L113" s="1682"/>
      <c r="M113" s="1683"/>
      <c r="N113" s="6"/>
      <c r="O113" s="6"/>
      <c r="P113" s="6"/>
      <c r="Q113" s="6"/>
      <c r="R113" s="6"/>
      <c r="S113" s="6"/>
      <c r="T113" s="6"/>
      <c r="U113" s="6"/>
    </row>
    <row r="114" spans="1:21" ht="28.5" customHeight="1" x14ac:dyDescent="0.25">
      <c r="A114" s="1869"/>
      <c r="B114" s="1870"/>
      <c r="C114" s="618"/>
      <c r="D114" s="715"/>
      <c r="E114" s="613"/>
      <c r="F114" s="638"/>
      <c r="G114" s="1671"/>
      <c r="H114" s="1672"/>
      <c r="I114" s="1681"/>
      <c r="J114" s="1682"/>
      <c r="K114" s="1682"/>
      <c r="L114" s="1682"/>
      <c r="M114" s="1683"/>
      <c r="N114" s="6"/>
      <c r="O114" s="6"/>
      <c r="P114" s="6"/>
      <c r="Q114" s="6"/>
      <c r="R114" s="6"/>
      <c r="S114" s="6"/>
      <c r="T114" s="6"/>
      <c r="U114" s="6"/>
    </row>
    <row r="115" spans="1:21" ht="28.5" customHeight="1" x14ac:dyDescent="0.25">
      <c r="A115" s="1871"/>
      <c r="B115" s="1872"/>
      <c r="C115" s="618"/>
      <c r="D115" s="716"/>
      <c r="E115" s="613"/>
      <c r="F115" s="638"/>
      <c r="G115" s="1671"/>
      <c r="H115" s="1672"/>
      <c r="I115" s="1681"/>
      <c r="J115" s="1682"/>
      <c r="K115" s="1682"/>
      <c r="L115" s="1682"/>
      <c r="M115" s="1683"/>
      <c r="N115" s="6"/>
      <c r="O115" s="6"/>
      <c r="P115" s="6"/>
      <c r="Q115" s="6"/>
      <c r="R115" s="6"/>
      <c r="S115" s="6"/>
      <c r="T115" s="6"/>
      <c r="U115" s="6"/>
    </row>
    <row r="116" spans="1:21" ht="28.5" customHeight="1" thickBot="1" x14ac:dyDescent="0.3">
      <c r="A116" s="1864"/>
      <c r="B116" s="1865"/>
      <c r="C116" s="544"/>
      <c r="D116" s="545"/>
      <c r="E116" s="638"/>
      <c r="F116" s="638"/>
      <c r="G116" s="1866"/>
      <c r="H116" s="1867"/>
      <c r="I116" s="1681"/>
      <c r="J116" s="1682"/>
      <c r="K116" s="1682"/>
      <c r="L116" s="1682"/>
      <c r="M116" s="1683"/>
      <c r="N116" s="6"/>
      <c r="O116" s="6"/>
      <c r="P116" s="6"/>
      <c r="Q116" s="6"/>
      <c r="R116" s="6"/>
      <c r="S116" s="6"/>
      <c r="T116" s="6"/>
      <c r="U116" s="6"/>
    </row>
    <row r="117" spans="1:21" s="74" customFormat="1" ht="24" customHeight="1" thickBot="1" x14ac:dyDescent="0.3">
      <c r="A117" s="1720" t="s">
        <v>2</v>
      </c>
      <c r="B117" s="1721"/>
      <c r="C117" s="717"/>
      <c r="D117" s="546">
        <f>SUM(D104:D116)</f>
        <v>0</v>
      </c>
      <c r="E117" s="645">
        <f>SUM(E104:E116)</f>
        <v>0</v>
      </c>
      <c r="F117" s="645">
        <f t="shared" ref="F117" si="6">SUM(F104:F116)</f>
        <v>0</v>
      </c>
      <c r="G117" s="1725">
        <f>SUM(G104:H116)</f>
        <v>0</v>
      </c>
      <c r="H117" s="1726"/>
      <c r="I117" s="1684"/>
      <c r="J117" s="1685"/>
      <c r="K117" s="1685"/>
      <c r="L117" s="1685"/>
      <c r="M117" s="1686"/>
    </row>
    <row r="118" spans="1:21" ht="15.75" thickBot="1" x14ac:dyDescent="0.3">
      <c r="O118" s="6"/>
      <c r="P118" s="6"/>
      <c r="Q118" s="6"/>
      <c r="R118" s="6"/>
      <c r="S118" s="6"/>
      <c r="T118" s="6"/>
      <c r="U118" s="6"/>
    </row>
    <row r="119" spans="1:21" ht="18" x14ac:dyDescent="0.25">
      <c r="A119" s="1000" t="s">
        <v>788</v>
      </c>
      <c r="B119" s="1001"/>
      <c r="C119" s="1001"/>
      <c r="D119" s="1001"/>
      <c r="E119" s="1001"/>
      <c r="F119" s="1001"/>
      <c r="G119" s="1001"/>
      <c r="H119" s="1687"/>
      <c r="I119" s="1641" t="s">
        <v>858</v>
      </c>
      <c r="J119" s="1641"/>
      <c r="K119" s="1641"/>
      <c r="L119" s="1641"/>
      <c r="M119" s="1642"/>
      <c r="N119" s="6"/>
      <c r="O119" s="6"/>
      <c r="P119" s="6"/>
      <c r="Q119" s="6"/>
      <c r="R119" s="6"/>
      <c r="S119" s="6"/>
      <c r="T119" s="6"/>
      <c r="U119" s="6"/>
    </row>
    <row r="120" spans="1:21" s="9" customFormat="1" ht="15" customHeight="1" x14ac:dyDescent="0.25">
      <c r="A120" s="75"/>
      <c r="B120" s="76"/>
      <c r="C120" s="77"/>
      <c r="D120" s="77"/>
      <c r="E120" s="78"/>
      <c r="F120" s="77"/>
      <c r="G120" s="77"/>
      <c r="H120" s="807"/>
      <c r="I120" s="1714"/>
      <c r="J120" s="1714"/>
      <c r="K120" s="1714"/>
      <c r="L120" s="1714"/>
      <c r="M120" s="1715"/>
    </row>
    <row r="121" spans="1:21" s="9" customFormat="1" ht="60" customHeight="1" x14ac:dyDescent="0.25">
      <c r="A121" s="808" t="s">
        <v>73</v>
      </c>
      <c r="B121" s="655" t="s">
        <v>859</v>
      </c>
      <c r="C121" s="1157" t="s">
        <v>74</v>
      </c>
      <c r="D121" s="1157"/>
      <c r="E121" s="1157" t="s">
        <v>841</v>
      </c>
      <c r="F121" s="1157"/>
      <c r="G121" s="1157" t="s">
        <v>831</v>
      </c>
      <c r="H121" s="1722"/>
      <c r="I121" s="1714"/>
      <c r="J121" s="1714"/>
      <c r="K121" s="1714"/>
      <c r="L121" s="1714"/>
      <c r="M121" s="1715"/>
    </row>
    <row r="122" spans="1:21" s="80" customFormat="1" ht="16.5" thickBot="1" x14ac:dyDescent="0.3">
      <c r="A122" s="809">
        <f>$D$4*(H9/10)*216000</f>
        <v>0</v>
      </c>
      <c r="B122" s="810"/>
      <c r="C122" s="1723"/>
      <c r="D122" s="1723"/>
      <c r="E122" s="1723"/>
      <c r="F122" s="1723"/>
      <c r="G122" s="1723"/>
      <c r="H122" s="1724"/>
      <c r="I122" s="1716"/>
      <c r="J122" s="1716"/>
      <c r="K122" s="1716"/>
      <c r="L122" s="1716"/>
      <c r="M122" s="1717"/>
    </row>
    <row r="123" spans="1:21" s="87" customFormat="1" ht="16.5" thickBot="1" x14ac:dyDescent="0.3">
      <c r="A123" s="110"/>
      <c r="B123" s="547"/>
      <c r="C123" s="82"/>
      <c r="D123" s="82"/>
      <c r="E123" s="82"/>
      <c r="F123" s="83"/>
      <c r="G123" s="83"/>
      <c r="H123" s="84"/>
      <c r="I123" s="84"/>
      <c r="J123" s="85"/>
      <c r="K123" s="86"/>
      <c r="L123" s="34"/>
      <c r="M123" s="34"/>
    </row>
    <row r="124" spans="1:21" ht="18" x14ac:dyDescent="0.25">
      <c r="A124" s="602" t="s">
        <v>789</v>
      </c>
      <c r="B124" s="603"/>
      <c r="C124" s="603"/>
      <c r="D124" s="603"/>
      <c r="E124" s="603"/>
      <c r="F124" s="603"/>
      <c r="G124" s="603"/>
      <c r="H124" s="721"/>
      <c r="I124" s="1641" t="s">
        <v>858</v>
      </c>
      <c r="J124" s="1641"/>
      <c r="K124" s="1641"/>
      <c r="L124" s="1641"/>
      <c r="M124" s="1642"/>
      <c r="O124" s="6"/>
      <c r="P124" s="6"/>
      <c r="Q124" s="6"/>
      <c r="R124" s="6"/>
      <c r="S124" s="6"/>
      <c r="T124" s="6"/>
      <c r="U124" s="6"/>
    </row>
    <row r="125" spans="1:21" ht="15" customHeight="1" x14ac:dyDescent="0.25">
      <c r="A125" s="548"/>
      <c r="B125" s="549"/>
      <c r="C125" s="88"/>
      <c r="D125" s="89"/>
      <c r="E125" s="88"/>
      <c r="F125" s="88"/>
      <c r="G125" s="88"/>
      <c r="H125" s="90"/>
      <c r="I125" s="1644"/>
      <c r="J125" s="1644"/>
      <c r="K125" s="1644"/>
      <c r="L125" s="1644"/>
      <c r="M125" s="1645"/>
      <c r="N125" s="6"/>
      <c r="O125" s="6"/>
      <c r="P125" s="6"/>
      <c r="Q125" s="6"/>
      <c r="R125" s="6"/>
      <c r="S125" s="6"/>
      <c r="T125" s="6"/>
      <c r="U125" s="6"/>
    </row>
    <row r="126" spans="1:21" s="14" customFormat="1" ht="63" customHeight="1" x14ac:dyDescent="0.25">
      <c r="A126" s="611" t="s">
        <v>103</v>
      </c>
      <c r="B126" s="612" t="s">
        <v>104</v>
      </c>
      <c r="C126" s="612" t="s">
        <v>833</v>
      </c>
      <c r="D126" s="609" t="s">
        <v>164</v>
      </c>
      <c r="E126" s="612" t="s">
        <v>106</v>
      </c>
      <c r="F126" s="610" t="s">
        <v>839</v>
      </c>
      <c r="G126" s="982" t="s">
        <v>831</v>
      </c>
      <c r="H126" s="1637"/>
      <c r="I126" s="1644"/>
      <c r="J126" s="1644"/>
      <c r="K126" s="1644"/>
      <c r="L126" s="1644"/>
      <c r="M126" s="1645"/>
    </row>
    <row r="127" spans="1:21" x14ac:dyDescent="0.25">
      <c r="A127" s="516" t="s">
        <v>107</v>
      </c>
      <c r="B127" s="719">
        <v>1</v>
      </c>
      <c r="C127" s="223"/>
      <c r="D127" s="632">
        <f>$D$4*C127*210000</f>
        <v>0</v>
      </c>
      <c r="E127" s="223"/>
      <c r="F127" s="223"/>
      <c r="G127" s="1852"/>
      <c r="H127" s="1853"/>
      <c r="I127" s="1644"/>
      <c r="J127" s="1644"/>
      <c r="K127" s="1644"/>
      <c r="L127" s="1644"/>
      <c r="M127" s="1645"/>
      <c r="N127" s="6"/>
      <c r="O127" s="6"/>
      <c r="P127" s="6"/>
      <c r="Q127" s="6"/>
      <c r="R127" s="6"/>
      <c r="S127" s="6"/>
      <c r="T127" s="6"/>
      <c r="U127" s="6"/>
    </row>
    <row r="128" spans="1:21" x14ac:dyDescent="0.25">
      <c r="A128" s="550" t="s">
        <v>108</v>
      </c>
      <c r="B128" s="720">
        <f>(D44+E44)</f>
        <v>0</v>
      </c>
      <c r="C128" s="168"/>
      <c r="D128" s="631">
        <f>$D$4*C128*50000</f>
        <v>0</v>
      </c>
      <c r="E128" s="223"/>
      <c r="F128" s="223"/>
      <c r="G128" s="1852"/>
      <c r="H128" s="1853"/>
      <c r="I128" s="1644"/>
      <c r="J128" s="1644"/>
      <c r="K128" s="1644"/>
      <c r="L128" s="1644"/>
      <c r="M128" s="1645"/>
      <c r="N128" s="6"/>
      <c r="O128" s="6"/>
      <c r="P128" s="6"/>
      <c r="Q128" s="6"/>
      <c r="R128" s="6"/>
      <c r="S128" s="6"/>
      <c r="T128" s="6"/>
      <c r="U128" s="6"/>
    </row>
    <row r="129" spans="1:21" x14ac:dyDescent="0.25">
      <c r="A129" s="550" t="s">
        <v>109</v>
      </c>
      <c r="B129" s="720">
        <f>B130+B131</f>
        <v>0</v>
      </c>
      <c r="C129" s="93"/>
      <c r="D129" s="718">
        <f>D130+D131</f>
        <v>0</v>
      </c>
      <c r="E129" s="554">
        <f>E130+E131</f>
        <v>0</v>
      </c>
      <c r="F129" s="554">
        <f>F130+F131</f>
        <v>0</v>
      </c>
      <c r="G129" s="1856">
        <f>G130+G131</f>
        <v>0</v>
      </c>
      <c r="H129" s="1857">
        <f>H130+H131</f>
        <v>0</v>
      </c>
      <c r="I129" s="1644"/>
      <c r="J129" s="1644"/>
      <c r="K129" s="1644"/>
      <c r="L129" s="1644"/>
      <c r="M129" s="1645"/>
      <c r="N129" s="6"/>
      <c r="O129" s="6"/>
      <c r="P129" s="6"/>
      <c r="Q129" s="6"/>
      <c r="R129" s="6"/>
      <c r="S129" s="6"/>
      <c r="T129" s="6"/>
      <c r="U129" s="6"/>
    </row>
    <row r="130" spans="1:21" x14ac:dyDescent="0.25">
      <c r="A130" s="551" t="s">
        <v>28</v>
      </c>
      <c r="B130" s="720">
        <f>H15/0.75</f>
        <v>0</v>
      </c>
      <c r="C130" s="168"/>
      <c r="D130" s="631">
        <f>$D$4*C130*45000+$D$4*C130*45000*20%</f>
        <v>0</v>
      </c>
      <c r="E130" s="223"/>
      <c r="F130" s="223"/>
      <c r="G130" s="1852"/>
      <c r="H130" s="1853"/>
      <c r="I130" s="1644"/>
      <c r="J130" s="1644"/>
      <c r="K130" s="1644"/>
      <c r="L130" s="1644"/>
      <c r="M130" s="1645"/>
      <c r="N130" s="6"/>
      <c r="O130" s="6"/>
      <c r="P130" s="6"/>
      <c r="Q130" s="6"/>
      <c r="R130" s="6"/>
      <c r="S130" s="6"/>
      <c r="T130" s="6"/>
      <c r="U130" s="6"/>
    </row>
    <row r="131" spans="1:21" x14ac:dyDescent="0.25">
      <c r="A131" s="551" t="s">
        <v>110</v>
      </c>
      <c r="B131" s="720">
        <f>(H9-H15-H16)/1.5+(H16/0.75)</f>
        <v>0</v>
      </c>
      <c r="C131" s="168"/>
      <c r="D131" s="631">
        <f>$D$4*C131*45000</f>
        <v>0</v>
      </c>
      <c r="E131" s="223"/>
      <c r="F131" s="223"/>
      <c r="G131" s="1852"/>
      <c r="H131" s="1853"/>
      <c r="I131" s="1644"/>
      <c r="J131" s="1644"/>
      <c r="K131" s="1644"/>
      <c r="L131" s="1644"/>
      <c r="M131" s="1645"/>
      <c r="N131" s="6"/>
      <c r="O131" s="6"/>
      <c r="P131" s="6"/>
      <c r="Q131" s="6"/>
      <c r="R131" s="6"/>
      <c r="S131" s="6"/>
      <c r="T131" s="6"/>
      <c r="U131" s="6"/>
    </row>
    <row r="132" spans="1:21" x14ac:dyDescent="0.25">
      <c r="A132" s="550" t="s">
        <v>111</v>
      </c>
      <c r="B132" s="720">
        <f t="shared" ref="B132:H132" si="7">B133+B134</f>
        <v>0</v>
      </c>
      <c r="C132" s="93"/>
      <c r="D132" s="631">
        <f t="shared" si="7"/>
        <v>0</v>
      </c>
      <c r="E132" s="554">
        <f t="shared" si="7"/>
        <v>0</v>
      </c>
      <c r="F132" s="554">
        <f t="shared" si="7"/>
        <v>0</v>
      </c>
      <c r="G132" s="1856">
        <f t="shared" si="7"/>
        <v>0</v>
      </c>
      <c r="H132" s="1857">
        <f t="shared" si="7"/>
        <v>0</v>
      </c>
      <c r="I132" s="1644"/>
      <c r="J132" s="1644"/>
      <c r="K132" s="1644"/>
      <c r="L132" s="1644"/>
      <c r="M132" s="1645"/>
      <c r="N132" s="6"/>
      <c r="O132" s="6"/>
      <c r="P132" s="6"/>
      <c r="Q132" s="6"/>
      <c r="R132" s="6"/>
      <c r="S132" s="6"/>
      <c r="T132" s="6"/>
      <c r="U132" s="6"/>
    </row>
    <row r="133" spans="1:21" x14ac:dyDescent="0.25">
      <c r="A133" s="551" t="s">
        <v>28</v>
      </c>
      <c r="B133" s="811"/>
      <c r="C133" s="168"/>
      <c r="D133" s="631">
        <f>$D$4*C133*35000+$D$4*C133*35000*20%</f>
        <v>0</v>
      </c>
      <c r="E133" s="223"/>
      <c r="F133" s="223"/>
      <c r="G133" s="1852"/>
      <c r="H133" s="1853"/>
      <c r="I133" s="1644"/>
      <c r="J133" s="1644"/>
      <c r="K133" s="1644"/>
      <c r="L133" s="1644"/>
      <c r="M133" s="1645"/>
      <c r="N133" s="6"/>
      <c r="O133" s="6"/>
      <c r="P133" s="6"/>
      <c r="Q133" s="6"/>
      <c r="R133" s="6"/>
      <c r="S133" s="6"/>
      <c r="T133" s="6"/>
      <c r="U133" s="6"/>
    </row>
    <row r="134" spans="1:21" ht="15.75" thickBot="1" x14ac:dyDescent="0.3">
      <c r="A134" s="551" t="s">
        <v>110</v>
      </c>
      <c r="B134" s="811"/>
      <c r="C134" s="168"/>
      <c r="D134" s="631">
        <f>$D$4*C134*35000</f>
        <v>0</v>
      </c>
      <c r="E134" s="168"/>
      <c r="F134" s="168"/>
      <c r="G134" s="1854"/>
      <c r="H134" s="1855"/>
      <c r="I134" s="1644"/>
      <c r="J134" s="1644"/>
      <c r="K134" s="1644"/>
      <c r="L134" s="1644"/>
      <c r="M134" s="1645"/>
      <c r="N134" s="6"/>
      <c r="O134" s="6"/>
      <c r="P134" s="6"/>
      <c r="Q134" s="6"/>
      <c r="R134" s="6"/>
      <c r="S134" s="6"/>
      <c r="T134" s="6"/>
      <c r="U134" s="6"/>
    </row>
    <row r="135" spans="1:21" s="101" customFormat="1" ht="16.5" thickBot="1" x14ac:dyDescent="0.3">
      <c r="A135" s="1237" t="s">
        <v>2</v>
      </c>
      <c r="B135" s="1238"/>
      <c r="C135" s="1238"/>
      <c r="D135" s="97">
        <f>SUM(D127:D129,D132)</f>
        <v>0</v>
      </c>
      <c r="E135" s="722">
        <f>SUM(E127:E129,E132)</f>
        <v>0</v>
      </c>
      <c r="F135" s="723"/>
      <c r="G135" s="1846">
        <f>SUM(G127:G129,G132)</f>
        <v>0</v>
      </c>
      <c r="H135" s="1847"/>
      <c r="I135" s="1647"/>
      <c r="J135" s="1647"/>
      <c r="K135" s="1647"/>
      <c r="L135" s="1647"/>
      <c r="M135" s="1648"/>
    </row>
    <row r="136" spans="1:21" s="9" customFormat="1" ht="15.75" thickBot="1" x14ac:dyDescent="0.3">
      <c r="A136" s="552"/>
      <c r="B136" s="552"/>
      <c r="C136" s="102"/>
      <c r="D136" s="81"/>
      <c r="E136" s="83"/>
      <c r="F136" s="83"/>
      <c r="G136" s="83"/>
      <c r="H136" s="83"/>
      <c r="I136" s="83"/>
      <c r="J136" s="83"/>
      <c r="K136" s="84"/>
      <c r="L136" s="84"/>
      <c r="M136" s="84"/>
      <c r="N136" s="104"/>
    </row>
    <row r="137" spans="1:21" s="105" customFormat="1" ht="18.75" x14ac:dyDescent="0.3">
      <c r="A137" s="1163" t="s">
        <v>790</v>
      </c>
      <c r="B137" s="1164"/>
      <c r="C137" s="1164"/>
      <c r="D137" s="1164"/>
      <c r="E137" s="1164"/>
      <c r="F137" s="1164"/>
      <c r="G137" s="1164"/>
      <c r="H137" s="1436"/>
      <c r="I137" s="1640" t="s">
        <v>858</v>
      </c>
      <c r="J137" s="1641"/>
      <c r="K137" s="1641"/>
      <c r="L137" s="1641"/>
      <c r="M137" s="1642"/>
      <c r="N137" s="106"/>
    </row>
    <row r="138" spans="1:21" ht="12.75" customHeight="1" x14ac:dyDescent="0.25">
      <c r="A138" s="553"/>
      <c r="B138" s="636"/>
      <c r="C138" s="646"/>
      <c r="D138" s="646"/>
      <c r="E138" s="646"/>
      <c r="F138" s="646"/>
      <c r="G138" s="646"/>
      <c r="H138" s="724"/>
      <c r="I138" s="1692"/>
      <c r="J138" s="1693"/>
      <c r="K138" s="1693"/>
      <c r="L138" s="1693"/>
      <c r="M138" s="1694"/>
      <c r="N138" s="6"/>
      <c r="O138" s="6"/>
      <c r="P138" s="6"/>
      <c r="Q138" s="6"/>
      <c r="R138" s="6"/>
      <c r="S138" s="6"/>
      <c r="T138" s="6"/>
      <c r="U138" s="6"/>
    </row>
    <row r="139" spans="1:21" s="14" customFormat="1" ht="51" customHeight="1" x14ac:dyDescent="0.25">
      <c r="A139" s="660" t="s">
        <v>112</v>
      </c>
      <c r="B139" s="651" t="s">
        <v>791</v>
      </c>
      <c r="C139" s="651" t="s">
        <v>113</v>
      </c>
      <c r="D139" s="653" t="s">
        <v>73</v>
      </c>
      <c r="E139" s="651" t="s">
        <v>114</v>
      </c>
      <c r="F139" s="651" t="s">
        <v>839</v>
      </c>
      <c r="G139" s="982" t="s">
        <v>831</v>
      </c>
      <c r="H139" s="1637"/>
      <c r="I139" s="1692"/>
      <c r="J139" s="1693"/>
      <c r="K139" s="1693"/>
      <c r="L139" s="1693"/>
      <c r="M139" s="1694"/>
    </row>
    <row r="140" spans="1:21" x14ac:dyDescent="0.25">
      <c r="A140" s="812" t="s">
        <v>115</v>
      </c>
      <c r="B140" s="654">
        <v>1</v>
      </c>
      <c r="C140" s="223"/>
      <c r="D140" s="17">
        <f>$D$4*C140*COUNTIF(B5,"Tribal/Hilly")*1200*(25*12)+$D$4*C140*COUNTIF(B5,"Urban")*1100*(25*12)+$D$4*C140*COUNTIF(B5,"Rural")*1100*(25*12)</f>
        <v>0</v>
      </c>
      <c r="E140" s="169"/>
      <c r="F140" s="725"/>
      <c r="G140" s="1840"/>
      <c r="H140" s="1841"/>
      <c r="I140" s="1692"/>
      <c r="J140" s="1693"/>
      <c r="K140" s="1693"/>
      <c r="L140" s="1693"/>
      <c r="M140" s="1694"/>
      <c r="N140" s="6"/>
      <c r="O140" s="6"/>
      <c r="P140" s="6"/>
      <c r="Q140" s="6"/>
      <c r="R140" s="6"/>
      <c r="S140" s="6"/>
      <c r="T140" s="6"/>
      <c r="U140" s="6"/>
    </row>
    <row r="141" spans="1:21" x14ac:dyDescent="0.25">
      <c r="A141" s="812" t="s">
        <v>116</v>
      </c>
      <c r="B141" s="662">
        <f>SUM(B142:B143)</f>
        <v>0</v>
      </c>
      <c r="C141" s="554">
        <f>SUM(C142:C143)</f>
        <v>0</v>
      </c>
      <c r="D141" s="17">
        <f>SUM(D142:D143)</f>
        <v>0</v>
      </c>
      <c r="E141" s="690">
        <f>SUM(E142:E143)</f>
        <v>0</v>
      </c>
      <c r="F141" s="726">
        <f>SUM(F142:G143)</f>
        <v>0</v>
      </c>
      <c r="G141" s="1842">
        <f>SUM(H142:I143)</f>
        <v>0</v>
      </c>
      <c r="H141" s="1843"/>
      <c r="I141" s="1692"/>
      <c r="J141" s="1693"/>
      <c r="K141" s="1693"/>
      <c r="L141" s="1693"/>
      <c r="M141" s="1694"/>
      <c r="N141" s="6"/>
      <c r="O141" s="6"/>
      <c r="P141" s="6"/>
      <c r="Q141" s="6"/>
      <c r="R141" s="6"/>
      <c r="S141" s="6"/>
      <c r="T141" s="6"/>
      <c r="U141" s="6"/>
    </row>
    <row r="142" spans="1:21" x14ac:dyDescent="0.25">
      <c r="A142" s="812" t="s">
        <v>28</v>
      </c>
      <c r="B142" s="1850">
        <f>B128-C128</f>
        <v>0</v>
      </c>
      <c r="C142" s="223"/>
      <c r="D142" s="17">
        <f>$D$4*C142*(7*12)*1200</f>
        <v>0</v>
      </c>
      <c r="E142" s="169"/>
      <c r="F142" s="725"/>
      <c r="G142" s="1840"/>
      <c r="H142" s="1841"/>
      <c r="I142" s="1692"/>
      <c r="J142" s="1693"/>
      <c r="K142" s="1693"/>
      <c r="L142" s="1693"/>
      <c r="M142" s="1694"/>
      <c r="N142" s="6"/>
      <c r="O142" s="6"/>
      <c r="P142" s="6"/>
      <c r="Q142" s="6"/>
      <c r="R142" s="6"/>
      <c r="S142" s="6"/>
      <c r="T142" s="6"/>
      <c r="U142" s="6"/>
    </row>
    <row r="143" spans="1:21" ht="15.75" thickBot="1" x14ac:dyDescent="0.3">
      <c r="A143" s="834" t="s">
        <v>110</v>
      </c>
      <c r="B143" s="1851"/>
      <c r="C143" s="168"/>
      <c r="D143" s="661">
        <f>$D$4*C143*(7*12)*1100</f>
        <v>0</v>
      </c>
      <c r="E143" s="171"/>
      <c r="F143" s="657"/>
      <c r="G143" s="1247"/>
      <c r="H143" s="1844"/>
      <c r="I143" s="1692"/>
      <c r="J143" s="1693"/>
      <c r="K143" s="1693"/>
      <c r="L143" s="1693"/>
      <c r="M143" s="1694"/>
      <c r="N143" s="6"/>
      <c r="O143" s="6"/>
      <c r="P143" s="6"/>
      <c r="Q143" s="6"/>
      <c r="R143" s="6"/>
      <c r="S143" s="6"/>
      <c r="T143" s="6"/>
      <c r="U143" s="6"/>
    </row>
    <row r="144" spans="1:21" s="109" customFormat="1" ht="16.5" thickBot="1" x14ac:dyDescent="0.3">
      <c r="A144" s="1848" t="s">
        <v>2</v>
      </c>
      <c r="B144" s="1849"/>
      <c r="C144" s="1849"/>
      <c r="D144" s="204">
        <f>SUM(D140:D141)</f>
        <v>0</v>
      </c>
      <c r="E144" s="108">
        <f>SUM(E140:E141)</f>
        <v>0</v>
      </c>
      <c r="F144" s="656">
        <f>SUM(F140:F141)</f>
        <v>0</v>
      </c>
      <c r="G144" s="1149">
        <f>SUM(G140:G141)</f>
        <v>0</v>
      </c>
      <c r="H144" s="1845"/>
      <c r="I144" s="1695"/>
      <c r="J144" s="1696"/>
      <c r="K144" s="1696"/>
      <c r="L144" s="1696"/>
      <c r="M144" s="1697"/>
    </row>
    <row r="145" spans="1:21" s="87" customFormat="1" ht="15.75" thickBot="1" x14ac:dyDescent="0.25">
      <c r="A145" s="552"/>
      <c r="B145" s="552"/>
      <c r="C145" s="102"/>
      <c r="D145" s="110"/>
      <c r="E145" s="110"/>
      <c r="F145" s="83"/>
      <c r="G145" s="83"/>
      <c r="H145" s="103"/>
      <c r="I145" s="103"/>
      <c r="J145" s="103"/>
      <c r="K145" s="103"/>
      <c r="L145" s="111"/>
      <c r="M145" s="111"/>
    </row>
    <row r="146" spans="1:21" ht="18" x14ac:dyDescent="0.25">
      <c r="A146" s="1000" t="s">
        <v>792</v>
      </c>
      <c r="B146" s="1001"/>
      <c r="C146" s="1001"/>
      <c r="D146" s="1001"/>
      <c r="E146" s="1001"/>
      <c r="F146" s="1001"/>
      <c r="G146" s="1001"/>
      <c r="H146" s="1687"/>
      <c r="I146" s="1640" t="s">
        <v>858</v>
      </c>
      <c r="J146" s="1641"/>
      <c r="K146" s="1641"/>
      <c r="L146" s="1641"/>
      <c r="M146" s="1642"/>
      <c r="O146" s="6"/>
      <c r="P146" s="6"/>
      <c r="Q146" s="6"/>
      <c r="R146" s="6"/>
      <c r="S146" s="6"/>
      <c r="T146" s="6"/>
      <c r="U146" s="6"/>
    </row>
    <row r="147" spans="1:21" ht="15" customHeight="1" x14ac:dyDescent="0.25">
      <c r="A147" s="555"/>
      <c r="B147" s="71"/>
      <c r="C147" s="6"/>
      <c r="D147" s="6"/>
      <c r="E147" s="6"/>
      <c r="F147" s="6"/>
      <c r="G147" s="6"/>
      <c r="H147" s="132"/>
      <c r="I147" s="1704"/>
      <c r="J147" s="1705"/>
      <c r="K147" s="1705"/>
      <c r="L147" s="1705"/>
      <c r="M147" s="1706"/>
      <c r="N147" s="6"/>
      <c r="O147" s="6"/>
      <c r="P147" s="6"/>
      <c r="Q147" s="6"/>
      <c r="R147" s="6"/>
      <c r="S147" s="6"/>
      <c r="T147" s="6"/>
      <c r="U147" s="6"/>
    </row>
    <row r="148" spans="1:21" ht="88.5" customHeight="1" x14ac:dyDescent="0.25">
      <c r="A148" s="113" t="s">
        <v>43</v>
      </c>
      <c r="B148" s="114" t="s">
        <v>860</v>
      </c>
      <c r="C148" s="658" t="s">
        <v>793</v>
      </c>
      <c r="D148" s="658" t="s">
        <v>117</v>
      </c>
      <c r="E148" s="658" t="s">
        <v>118</v>
      </c>
      <c r="F148" s="658" t="s">
        <v>842</v>
      </c>
      <c r="G148" s="1232" t="s">
        <v>834</v>
      </c>
      <c r="H148" s="1710"/>
      <c r="I148" s="1704"/>
      <c r="J148" s="1705"/>
      <c r="K148" s="1705"/>
      <c r="L148" s="1705"/>
      <c r="M148" s="1706"/>
      <c r="N148" s="6"/>
      <c r="O148" s="6"/>
      <c r="P148" s="6"/>
      <c r="Q148" s="6"/>
      <c r="R148" s="6"/>
      <c r="S148" s="6"/>
      <c r="T148" s="6"/>
      <c r="U148" s="6"/>
    </row>
    <row r="149" spans="1:21" x14ac:dyDescent="0.25">
      <c r="A149" s="115" t="s">
        <v>121</v>
      </c>
      <c r="B149" s="652">
        <f>$D$4*(H9/10)*500000</f>
        <v>0</v>
      </c>
      <c r="C149" s="172"/>
      <c r="D149" s="172"/>
      <c r="E149" s="746"/>
      <c r="F149" s="585"/>
      <c r="G149" s="1711"/>
      <c r="H149" s="1712"/>
      <c r="I149" s="1704"/>
      <c r="J149" s="1705"/>
      <c r="K149" s="1705"/>
      <c r="L149" s="1705"/>
      <c r="M149" s="1706"/>
      <c r="N149" s="6"/>
      <c r="O149" s="6"/>
      <c r="P149" s="6"/>
      <c r="Q149" s="6"/>
      <c r="R149" s="6"/>
      <c r="S149" s="6"/>
      <c r="T149" s="6"/>
      <c r="U149" s="6"/>
    </row>
    <row r="150" spans="1:21" ht="30" customHeight="1" x14ac:dyDescent="0.25">
      <c r="A150" s="117" t="s">
        <v>122</v>
      </c>
      <c r="B150" s="813">
        <v>1</v>
      </c>
      <c r="C150" s="172"/>
      <c r="D150" s="172"/>
      <c r="E150" s="585"/>
      <c r="F150" s="585"/>
      <c r="G150" s="1711"/>
      <c r="H150" s="1712"/>
      <c r="I150" s="1704"/>
      <c r="J150" s="1705"/>
      <c r="K150" s="1705"/>
      <c r="L150" s="1705"/>
      <c r="M150" s="1706"/>
      <c r="N150" s="6"/>
      <c r="O150" s="6"/>
      <c r="P150" s="6"/>
      <c r="Q150" s="6"/>
      <c r="R150" s="6"/>
      <c r="S150" s="6"/>
      <c r="T150" s="6"/>
      <c r="U150" s="6"/>
    </row>
    <row r="151" spans="1:21" ht="15.75" thickBot="1" x14ac:dyDescent="0.3">
      <c r="A151" s="118" t="s">
        <v>123</v>
      </c>
      <c r="B151" s="814">
        <f>H11/1</f>
        <v>0</v>
      </c>
      <c r="C151" s="556"/>
      <c r="D151" s="556"/>
      <c r="E151" s="586"/>
      <c r="F151" s="586"/>
      <c r="G151" s="1837"/>
      <c r="H151" s="1838"/>
      <c r="I151" s="1704"/>
      <c r="J151" s="1705"/>
      <c r="K151" s="1705"/>
      <c r="L151" s="1705"/>
      <c r="M151" s="1706"/>
      <c r="N151" s="6"/>
      <c r="O151" s="6"/>
      <c r="P151" s="6"/>
      <c r="Q151" s="6"/>
      <c r="R151" s="6"/>
      <c r="S151" s="6"/>
      <c r="T151" s="6"/>
      <c r="U151" s="6"/>
    </row>
    <row r="152" spans="1:21" ht="16.5" thickBot="1" x14ac:dyDescent="0.3">
      <c r="A152" s="604" t="s">
        <v>2</v>
      </c>
      <c r="B152" s="729">
        <f>SUM(B149:B151)</f>
        <v>1</v>
      </c>
      <c r="C152" s="728"/>
      <c r="D152" s="727"/>
      <c r="E152" s="122">
        <f>SUM(E149:E151)</f>
        <v>0</v>
      </c>
      <c r="F152" s="122">
        <f>SUM(F149:F151)</f>
        <v>0</v>
      </c>
      <c r="G152" s="1274">
        <f>SUM(G149:G151)</f>
        <v>0</v>
      </c>
      <c r="H152" s="1839"/>
      <c r="I152" s="1707"/>
      <c r="J152" s="1708"/>
      <c r="K152" s="1708"/>
      <c r="L152" s="1708"/>
      <c r="M152" s="1709"/>
      <c r="N152" s="6"/>
      <c r="O152" s="6"/>
      <c r="P152" s="6"/>
      <c r="Q152" s="6"/>
      <c r="R152" s="6"/>
      <c r="S152" s="6"/>
      <c r="T152" s="6"/>
      <c r="U152" s="6"/>
    </row>
    <row r="153" spans="1:21" x14ac:dyDescent="0.25">
      <c r="A153" s="557"/>
      <c r="N153" s="6"/>
      <c r="O153" s="6"/>
      <c r="P153" s="6"/>
      <c r="Q153" s="6"/>
      <c r="R153" s="6"/>
      <c r="S153" s="6"/>
      <c r="T153" s="6"/>
      <c r="U153" s="6"/>
    </row>
    <row r="154" spans="1:21" s="105" customFormat="1" ht="18.75" x14ac:dyDescent="0.3">
      <c r="A154" s="583" t="s">
        <v>794</v>
      </c>
      <c r="B154" s="584"/>
      <c r="C154" s="584"/>
      <c r="D154" s="584"/>
      <c r="E154" s="584"/>
      <c r="F154" s="584"/>
      <c r="G154" s="584"/>
      <c r="H154" s="584"/>
      <c r="I154" s="584"/>
      <c r="J154" s="584"/>
      <c r="K154" s="584"/>
      <c r="L154" s="584"/>
      <c r="M154" s="584"/>
    </row>
    <row r="155" spans="1:21" ht="15.75" thickBot="1" x14ac:dyDescent="0.3">
      <c r="A155" s="558"/>
      <c r="N155" s="6"/>
      <c r="O155" s="6"/>
      <c r="P155" s="6"/>
      <c r="Q155" s="6"/>
      <c r="R155" s="6"/>
      <c r="S155" s="6"/>
      <c r="T155" s="6"/>
      <c r="U155" s="6"/>
    </row>
    <row r="156" spans="1:21" ht="14.25" customHeight="1" x14ac:dyDescent="0.25">
      <c r="A156" s="1833" t="s">
        <v>124</v>
      </c>
      <c r="B156" s="1834"/>
      <c r="C156" s="1834"/>
      <c r="D156" s="1834"/>
      <c r="E156" s="1834"/>
      <c r="F156" s="1834"/>
      <c r="G156" s="1834"/>
      <c r="H156" s="1834"/>
      <c r="I156" s="559" t="s">
        <v>125</v>
      </c>
      <c r="J156" s="1835" t="s">
        <v>126</v>
      </c>
      <c r="K156" s="1836"/>
      <c r="N156" s="6"/>
      <c r="O156" s="6"/>
      <c r="P156" s="6"/>
      <c r="Q156" s="6"/>
      <c r="R156" s="6"/>
      <c r="S156" s="6"/>
      <c r="T156" s="6"/>
      <c r="U156" s="6"/>
    </row>
    <row r="157" spans="1:21" x14ac:dyDescent="0.25">
      <c r="A157" s="1253" t="s">
        <v>795</v>
      </c>
      <c r="B157" s="1254"/>
      <c r="C157" s="1254"/>
      <c r="D157" s="1254"/>
      <c r="E157" s="1254"/>
      <c r="F157" s="1254"/>
      <c r="G157" s="1254"/>
      <c r="H157" s="1254"/>
      <c r="I157" s="560"/>
      <c r="J157" s="1812"/>
      <c r="K157" s="1813"/>
      <c r="N157" s="6"/>
      <c r="O157" s="6"/>
      <c r="P157" s="6"/>
      <c r="Q157" s="6"/>
      <c r="R157" s="6"/>
      <c r="S157" s="6"/>
      <c r="T157" s="6"/>
      <c r="U157" s="6"/>
    </row>
    <row r="158" spans="1:21" ht="15" customHeight="1" x14ac:dyDescent="0.25">
      <c r="A158" s="1253" t="s">
        <v>127</v>
      </c>
      <c r="B158" s="1254"/>
      <c r="C158" s="1254"/>
      <c r="D158" s="1254"/>
      <c r="E158" s="1254"/>
      <c r="F158" s="1254"/>
      <c r="G158" s="1254"/>
      <c r="H158" s="1254"/>
      <c r="I158" s="560"/>
      <c r="J158" s="1812"/>
      <c r="K158" s="1813"/>
      <c r="N158" s="6"/>
      <c r="O158" s="6"/>
      <c r="P158" s="6"/>
      <c r="Q158" s="6"/>
      <c r="R158" s="6"/>
      <c r="S158" s="6"/>
      <c r="T158" s="6"/>
      <c r="U158" s="6"/>
    </row>
    <row r="159" spans="1:21" ht="15" customHeight="1" x14ac:dyDescent="0.25">
      <c r="A159" s="1253" t="s">
        <v>128</v>
      </c>
      <c r="B159" s="1254"/>
      <c r="C159" s="1254"/>
      <c r="D159" s="1254"/>
      <c r="E159" s="1254"/>
      <c r="F159" s="1254"/>
      <c r="G159" s="1254"/>
      <c r="H159" s="1254"/>
      <c r="I159" s="560"/>
      <c r="J159" s="1812"/>
      <c r="K159" s="1813"/>
      <c r="N159" s="6"/>
      <c r="O159" s="6"/>
      <c r="P159" s="6"/>
      <c r="Q159" s="6"/>
      <c r="R159" s="6"/>
      <c r="S159" s="6"/>
      <c r="T159" s="6"/>
      <c r="U159" s="6"/>
    </row>
    <row r="160" spans="1:21" ht="15" customHeight="1" x14ac:dyDescent="0.25">
      <c r="A160" s="1253" t="s">
        <v>129</v>
      </c>
      <c r="B160" s="1254"/>
      <c r="C160" s="1254"/>
      <c r="D160" s="1254"/>
      <c r="E160" s="1254"/>
      <c r="F160" s="1254"/>
      <c r="G160" s="1254"/>
      <c r="H160" s="1254"/>
      <c r="I160" s="560"/>
      <c r="J160" s="1812"/>
      <c r="K160" s="1813"/>
      <c r="N160" s="6"/>
      <c r="O160" s="6"/>
      <c r="P160" s="6"/>
      <c r="Q160" s="6"/>
      <c r="R160" s="6"/>
      <c r="S160" s="6"/>
      <c r="T160" s="6"/>
      <c r="U160" s="6"/>
    </row>
    <row r="161" spans="1:21" ht="15" customHeight="1" thickBot="1" x14ac:dyDescent="0.3">
      <c r="A161" s="1257" t="s">
        <v>130</v>
      </c>
      <c r="B161" s="1258"/>
      <c r="C161" s="1258"/>
      <c r="D161" s="1258"/>
      <c r="E161" s="1258"/>
      <c r="F161" s="1258"/>
      <c r="G161" s="1258"/>
      <c r="H161" s="1258"/>
      <c r="I161" s="561"/>
      <c r="J161" s="1814"/>
      <c r="K161" s="1815"/>
      <c r="N161" s="6"/>
      <c r="O161" s="6"/>
      <c r="P161" s="6"/>
      <c r="Q161" s="6"/>
      <c r="R161" s="6"/>
      <c r="S161" s="6"/>
      <c r="T161" s="6"/>
      <c r="U161" s="6"/>
    </row>
    <row r="162" spans="1:21" ht="15" customHeight="1" x14ac:dyDescent="0.25">
      <c r="A162" s="125"/>
      <c r="B162" s="125"/>
      <c r="C162" s="125"/>
      <c r="D162" s="125"/>
      <c r="E162" s="125"/>
      <c r="F162" s="125"/>
      <c r="G162" s="125"/>
      <c r="H162" s="125"/>
      <c r="I162" s="126"/>
      <c r="J162" s="126"/>
      <c r="K162" s="126"/>
      <c r="N162" s="6"/>
      <c r="O162" s="6"/>
      <c r="P162" s="6"/>
      <c r="Q162" s="6"/>
      <c r="R162" s="6"/>
      <c r="S162" s="6"/>
      <c r="T162" s="6"/>
      <c r="U162" s="6"/>
    </row>
    <row r="163" spans="1:21" ht="15" customHeight="1" thickBot="1" x14ac:dyDescent="0.3">
      <c r="A163" s="125"/>
      <c r="B163" s="125"/>
      <c r="C163" s="125"/>
      <c r="D163" s="125"/>
      <c r="E163" s="125"/>
      <c r="F163" s="125"/>
      <c r="G163" s="125"/>
      <c r="H163" s="125"/>
      <c r="I163" s="126"/>
      <c r="J163" s="126"/>
      <c r="K163" s="126"/>
      <c r="N163" s="6"/>
      <c r="O163" s="6"/>
      <c r="P163" s="6"/>
      <c r="Q163" s="6"/>
      <c r="R163" s="6"/>
      <c r="S163" s="6"/>
      <c r="T163" s="6"/>
      <c r="U163" s="6"/>
    </row>
    <row r="164" spans="1:21" ht="15" customHeight="1" x14ac:dyDescent="0.25">
      <c r="A164" s="1302" t="s">
        <v>43</v>
      </c>
      <c r="B164" s="1303"/>
      <c r="C164" s="1816" t="s">
        <v>796</v>
      </c>
      <c r="D164" s="1821" t="s">
        <v>132</v>
      </c>
      <c r="E164" s="1305" t="s">
        <v>133</v>
      </c>
      <c r="F164" s="1824" t="s">
        <v>839</v>
      </c>
      <c r="G164" s="1305" t="s">
        <v>861</v>
      </c>
      <c r="H164" s="1827" t="s">
        <v>835</v>
      </c>
      <c r="I164" s="1829" t="s">
        <v>858</v>
      </c>
      <c r="J164" s="1829"/>
      <c r="K164" s="1829"/>
      <c r="L164" s="1829"/>
      <c r="M164" s="1829"/>
      <c r="N164" s="6"/>
      <c r="O164" s="6"/>
      <c r="P164" s="6"/>
      <c r="Q164" s="6"/>
      <c r="R164" s="6"/>
      <c r="S164" s="6"/>
      <c r="T164" s="6"/>
      <c r="U164" s="6"/>
    </row>
    <row r="165" spans="1:21" ht="15" customHeight="1" x14ac:dyDescent="0.25">
      <c r="A165" s="1304"/>
      <c r="B165" s="1071"/>
      <c r="C165" s="1817"/>
      <c r="D165" s="1822"/>
      <c r="E165" s="1306"/>
      <c r="F165" s="1825"/>
      <c r="G165" s="1306"/>
      <c r="H165" s="1828"/>
      <c r="I165" s="1830"/>
      <c r="J165" s="1830"/>
      <c r="K165" s="1830"/>
      <c r="L165" s="1830"/>
      <c r="M165" s="1830"/>
      <c r="N165" s="6"/>
      <c r="O165" s="6"/>
      <c r="P165" s="6"/>
      <c r="Q165" s="6"/>
      <c r="R165" s="6"/>
      <c r="S165" s="6"/>
      <c r="T165" s="6"/>
      <c r="U165" s="6"/>
    </row>
    <row r="166" spans="1:21" ht="28.5" customHeight="1" x14ac:dyDescent="0.25">
      <c r="A166" s="1304"/>
      <c r="B166" s="1071"/>
      <c r="C166" s="1818"/>
      <c r="D166" s="1823"/>
      <c r="E166" s="1306"/>
      <c r="F166" s="1826"/>
      <c r="G166" s="1306"/>
      <c r="H166" s="1828"/>
      <c r="I166" s="1831"/>
      <c r="J166" s="1831"/>
      <c r="K166" s="1831"/>
      <c r="L166" s="1831"/>
      <c r="M166" s="1831"/>
      <c r="N166" s="6"/>
      <c r="O166" s="6"/>
      <c r="P166" s="6"/>
      <c r="Q166" s="6"/>
      <c r="R166" s="6"/>
      <c r="S166" s="6"/>
      <c r="T166" s="6"/>
      <c r="U166" s="6"/>
    </row>
    <row r="167" spans="1:21" x14ac:dyDescent="0.25">
      <c r="A167" s="1819" t="s">
        <v>862</v>
      </c>
      <c r="B167" s="1820"/>
      <c r="C167" s="625"/>
      <c r="D167" s="1319"/>
      <c r="E167" s="1320"/>
      <c r="F167" s="1319"/>
      <c r="G167" s="1320"/>
      <c r="H167" s="740"/>
      <c r="I167" s="1832"/>
      <c r="J167" s="1832"/>
      <c r="K167" s="1832"/>
      <c r="L167" s="1832"/>
      <c r="M167" s="1832"/>
      <c r="O167" s="6"/>
      <c r="P167" s="6"/>
      <c r="Q167" s="6"/>
      <c r="R167" s="6"/>
      <c r="S167" s="6"/>
      <c r="T167" s="6"/>
      <c r="U167" s="6"/>
    </row>
    <row r="168" spans="1:21" ht="28.5" x14ac:dyDescent="0.25">
      <c r="A168" s="622" t="s">
        <v>141</v>
      </c>
      <c r="B168" s="615" t="s">
        <v>797</v>
      </c>
      <c r="C168" s="642"/>
      <c r="D168" s="642"/>
      <c r="E168" s="642"/>
      <c r="F168" s="562"/>
      <c r="G168" s="562"/>
      <c r="H168" s="643"/>
      <c r="I168" s="1644"/>
      <c r="J168" s="1644"/>
      <c r="K168" s="1644"/>
      <c r="L168" s="1644"/>
      <c r="M168" s="1644"/>
      <c r="N168" s="6"/>
      <c r="O168" s="6"/>
      <c r="P168" s="6"/>
      <c r="Q168" s="6"/>
      <c r="R168" s="6"/>
      <c r="S168" s="6"/>
      <c r="T168" s="6"/>
      <c r="U168" s="6"/>
    </row>
    <row r="169" spans="1:21" x14ac:dyDescent="0.25">
      <c r="A169" s="622" t="s">
        <v>142</v>
      </c>
      <c r="B169" s="615" t="s">
        <v>798</v>
      </c>
      <c r="C169" s="642"/>
      <c r="D169" s="642"/>
      <c r="E169" s="642"/>
      <c r="F169" s="562"/>
      <c r="G169" s="562"/>
      <c r="H169" s="643"/>
      <c r="I169" s="1644"/>
      <c r="J169" s="1644"/>
      <c r="K169" s="1644"/>
      <c r="L169" s="1644"/>
      <c r="M169" s="1644"/>
      <c r="N169" s="6"/>
      <c r="O169" s="6"/>
      <c r="P169" s="6"/>
      <c r="Q169" s="6"/>
      <c r="R169" s="6"/>
      <c r="S169" s="6"/>
      <c r="T169" s="6"/>
      <c r="U169" s="6"/>
    </row>
    <row r="170" spans="1:21" ht="57" x14ac:dyDescent="0.25">
      <c r="A170" s="622" t="s">
        <v>123</v>
      </c>
      <c r="B170" s="615" t="s">
        <v>799</v>
      </c>
      <c r="C170" s="642"/>
      <c r="D170" s="642"/>
      <c r="E170" s="642"/>
      <c r="F170" s="562"/>
      <c r="G170" s="562"/>
      <c r="H170" s="643"/>
      <c r="I170" s="1644"/>
      <c r="J170" s="1644"/>
      <c r="K170" s="1644"/>
      <c r="L170" s="1644"/>
      <c r="M170" s="1644"/>
      <c r="N170" s="6"/>
      <c r="O170" s="6"/>
      <c r="P170" s="6"/>
      <c r="Q170" s="6"/>
      <c r="R170" s="6"/>
      <c r="S170" s="6"/>
      <c r="T170" s="6"/>
      <c r="U170" s="6"/>
    </row>
    <row r="171" spans="1:21" ht="39.75" customHeight="1" x14ac:dyDescent="0.25">
      <c r="A171" s="1651" t="s">
        <v>800</v>
      </c>
      <c r="B171" s="1652"/>
      <c r="C171" s="731"/>
      <c r="D171" s="732"/>
      <c r="E171" s="732"/>
      <c r="F171" s="732"/>
      <c r="G171" s="732"/>
      <c r="H171" s="733"/>
      <c r="I171" s="1644"/>
      <c r="J171" s="1644"/>
      <c r="K171" s="1644"/>
      <c r="L171" s="1644"/>
      <c r="M171" s="1644"/>
      <c r="N171" s="6"/>
      <c r="O171" s="6"/>
      <c r="P171" s="6"/>
      <c r="Q171" s="6"/>
      <c r="R171" s="6"/>
      <c r="S171" s="6"/>
      <c r="T171" s="6"/>
      <c r="U171" s="6"/>
    </row>
    <row r="172" spans="1:21" ht="28.5" customHeight="1" x14ac:dyDescent="0.25">
      <c r="A172" s="1649" t="s">
        <v>801</v>
      </c>
      <c r="B172" s="1650"/>
      <c r="C172" s="642"/>
      <c r="D172" s="642"/>
      <c r="E172" s="642"/>
      <c r="F172" s="562"/>
      <c r="G172" s="562"/>
      <c r="H172" s="643"/>
      <c r="I172" s="1644"/>
      <c r="J172" s="1644"/>
      <c r="K172" s="1644"/>
      <c r="L172" s="1644"/>
      <c r="M172" s="1644"/>
      <c r="N172" s="6"/>
      <c r="O172" s="6"/>
      <c r="P172" s="6"/>
      <c r="Q172" s="6"/>
      <c r="R172" s="6"/>
      <c r="S172" s="6"/>
      <c r="T172" s="6"/>
      <c r="U172" s="6"/>
    </row>
    <row r="173" spans="1:21" x14ac:dyDescent="0.25">
      <c r="A173" s="1649" t="s">
        <v>802</v>
      </c>
      <c r="B173" s="1650"/>
      <c r="C173" s="642"/>
      <c r="D173" s="642"/>
      <c r="E173" s="642"/>
      <c r="F173" s="562"/>
      <c r="G173" s="562"/>
      <c r="H173" s="643"/>
      <c r="I173" s="1644"/>
      <c r="J173" s="1644"/>
      <c r="K173" s="1644"/>
      <c r="L173" s="1644"/>
      <c r="M173" s="1644"/>
      <c r="N173" s="6"/>
      <c r="O173" s="6"/>
      <c r="P173" s="6"/>
      <c r="Q173" s="6"/>
      <c r="R173" s="6"/>
      <c r="S173" s="6"/>
      <c r="T173" s="6"/>
      <c r="U173" s="6"/>
    </row>
    <row r="174" spans="1:21" x14ac:dyDescent="0.25">
      <c r="A174" s="1649" t="s">
        <v>803</v>
      </c>
      <c r="B174" s="1650"/>
      <c r="C174" s="642"/>
      <c r="D174" s="642"/>
      <c r="E174" s="642"/>
      <c r="F174" s="562"/>
      <c r="G174" s="562"/>
      <c r="H174" s="643"/>
      <c r="I174" s="1644"/>
      <c r="J174" s="1644"/>
      <c r="K174" s="1644"/>
      <c r="L174" s="1644"/>
      <c r="M174" s="1644"/>
      <c r="N174" s="6"/>
      <c r="O174" s="6"/>
      <c r="P174" s="6"/>
      <c r="Q174" s="6"/>
      <c r="R174" s="6"/>
      <c r="S174" s="6"/>
      <c r="T174" s="6"/>
      <c r="U174" s="6"/>
    </row>
    <row r="175" spans="1:21" x14ac:dyDescent="0.25">
      <c r="A175" s="1703" t="s">
        <v>143</v>
      </c>
      <c r="B175" s="1285"/>
      <c r="C175" s="625"/>
      <c r="D175" s="1299"/>
      <c r="E175" s="1299"/>
      <c r="F175" s="1299"/>
      <c r="G175" s="1299"/>
      <c r="H175" s="740"/>
      <c r="I175" s="1644"/>
      <c r="J175" s="1644"/>
      <c r="K175" s="1644"/>
      <c r="L175" s="1644"/>
      <c r="M175" s="1644"/>
      <c r="N175" s="6"/>
      <c r="O175" s="6"/>
      <c r="P175" s="6"/>
      <c r="Q175" s="6"/>
      <c r="R175" s="6"/>
      <c r="S175" s="6"/>
      <c r="T175" s="6"/>
      <c r="U175" s="6"/>
    </row>
    <row r="176" spans="1:21" x14ac:dyDescent="0.25">
      <c r="A176" s="1304" t="s">
        <v>144</v>
      </c>
      <c r="B176" s="1071"/>
      <c r="C176" s="642"/>
      <c r="D176" s="616">
        <f>$D$4*C176*5000</f>
        <v>0</v>
      </c>
      <c r="E176" s="627"/>
      <c r="F176" s="562"/>
      <c r="G176" s="562"/>
      <c r="H176" s="643"/>
      <c r="I176" s="1644"/>
      <c r="J176" s="1644"/>
      <c r="K176" s="1644"/>
      <c r="L176" s="1644"/>
      <c r="M176" s="1644"/>
      <c r="N176" s="6"/>
      <c r="O176" s="6"/>
      <c r="P176" s="6"/>
      <c r="Q176" s="6"/>
      <c r="R176" s="6"/>
      <c r="S176" s="6"/>
      <c r="T176" s="6"/>
      <c r="U176" s="6"/>
    </row>
    <row r="177" spans="1:21" ht="29.25" customHeight="1" x14ac:dyDescent="0.25">
      <c r="A177" s="1304" t="s">
        <v>145</v>
      </c>
      <c r="B177" s="1071"/>
      <c r="C177" s="642"/>
      <c r="D177" s="616">
        <f>$D$4*C177*10000</f>
        <v>0</v>
      </c>
      <c r="E177" s="627"/>
      <c r="F177" s="562"/>
      <c r="G177" s="562"/>
      <c r="H177" s="643"/>
      <c r="I177" s="1644"/>
      <c r="J177" s="1644"/>
      <c r="K177" s="1644"/>
      <c r="L177" s="1644"/>
      <c r="M177" s="1644"/>
      <c r="N177" s="6"/>
      <c r="O177" s="6"/>
      <c r="P177" s="6"/>
      <c r="Q177" s="6"/>
      <c r="R177" s="6"/>
      <c r="S177" s="6"/>
      <c r="T177" s="6"/>
      <c r="U177" s="6"/>
    </row>
    <row r="178" spans="1:21" x14ac:dyDescent="0.25">
      <c r="A178" s="1713" t="s">
        <v>146</v>
      </c>
      <c r="B178" s="1691"/>
      <c r="C178" s="642"/>
      <c r="D178" s="693"/>
      <c r="E178" s="693"/>
      <c r="F178" s="562"/>
      <c r="G178" s="562"/>
      <c r="H178" s="643"/>
      <c r="I178" s="1644"/>
      <c r="J178" s="1644"/>
      <c r="K178" s="1644"/>
      <c r="L178" s="1644"/>
      <c r="M178" s="1644"/>
      <c r="N178" s="6"/>
      <c r="O178" s="6"/>
      <c r="P178" s="6"/>
      <c r="Q178" s="6"/>
      <c r="R178" s="6"/>
      <c r="S178" s="6"/>
      <c r="T178" s="6"/>
      <c r="U178" s="6"/>
    </row>
    <row r="179" spans="1:21" x14ac:dyDescent="0.25">
      <c r="A179" s="1713" t="s">
        <v>146</v>
      </c>
      <c r="B179" s="1691"/>
      <c r="C179" s="642"/>
      <c r="D179" s="693"/>
      <c r="E179" s="693"/>
      <c r="F179" s="562"/>
      <c r="G179" s="562"/>
      <c r="H179" s="643"/>
      <c r="I179" s="1644"/>
      <c r="J179" s="1644"/>
      <c r="K179" s="1644"/>
      <c r="L179" s="1644"/>
      <c r="M179" s="1644"/>
      <c r="N179" s="6"/>
      <c r="O179" s="6"/>
      <c r="P179" s="6"/>
      <c r="Q179" s="6"/>
      <c r="R179" s="6"/>
      <c r="S179" s="6"/>
      <c r="T179" s="6"/>
      <c r="U179" s="6"/>
    </row>
    <row r="180" spans="1:21" ht="30" x14ac:dyDescent="0.25">
      <c r="A180" s="734" t="s">
        <v>147</v>
      </c>
      <c r="B180" s="623" t="s">
        <v>148</v>
      </c>
      <c r="C180" s="625"/>
      <c r="D180" s="1299"/>
      <c r="E180" s="1299"/>
      <c r="F180" s="1299"/>
      <c r="G180" s="1299"/>
      <c r="H180" s="740"/>
      <c r="I180" s="1644"/>
      <c r="J180" s="1644"/>
      <c r="K180" s="1644"/>
      <c r="L180" s="1644"/>
      <c r="M180" s="1644"/>
      <c r="N180" s="6"/>
      <c r="O180" s="6"/>
      <c r="P180" s="6"/>
      <c r="Q180" s="6"/>
      <c r="R180" s="6"/>
      <c r="S180" s="6"/>
      <c r="T180" s="6"/>
      <c r="U180" s="6"/>
    </row>
    <row r="181" spans="1:21" x14ac:dyDescent="0.25">
      <c r="A181" s="626" t="s">
        <v>149</v>
      </c>
      <c r="B181" s="642"/>
      <c r="C181" s="642"/>
      <c r="D181" s="1487">
        <f>$D$4*60000*(I157+J157)</f>
        <v>0</v>
      </c>
      <c r="E181" s="1691"/>
      <c r="F181" s="562"/>
      <c r="G181" s="562"/>
      <c r="H181" s="735"/>
      <c r="I181" s="1644"/>
      <c r="J181" s="1644"/>
      <c r="K181" s="1644"/>
      <c r="L181" s="1644"/>
      <c r="M181" s="1644"/>
      <c r="N181" s="6"/>
      <c r="O181" s="6"/>
      <c r="P181" s="6"/>
      <c r="Q181" s="6"/>
      <c r="R181" s="6"/>
      <c r="S181" s="6"/>
      <c r="T181" s="6"/>
      <c r="U181" s="6"/>
    </row>
    <row r="182" spans="1:21" x14ac:dyDescent="0.25">
      <c r="A182" s="626" t="s">
        <v>904</v>
      </c>
      <c r="B182" s="642"/>
      <c r="C182" s="642"/>
      <c r="D182" s="1489"/>
      <c r="E182" s="1691"/>
      <c r="F182" s="562"/>
      <c r="G182" s="562"/>
      <c r="H182" s="735"/>
      <c r="I182" s="1644"/>
      <c r="J182" s="1644"/>
      <c r="K182" s="1644"/>
      <c r="L182" s="1644"/>
      <c r="M182" s="1644"/>
      <c r="N182" s="6"/>
      <c r="O182" s="6"/>
      <c r="P182" s="6"/>
      <c r="Q182" s="6"/>
      <c r="R182" s="6"/>
      <c r="S182" s="6"/>
      <c r="T182" s="6"/>
      <c r="U182" s="6"/>
    </row>
    <row r="183" spans="1:21" x14ac:dyDescent="0.25">
      <c r="A183" s="626" t="s">
        <v>151</v>
      </c>
      <c r="B183" s="642"/>
      <c r="C183" s="642"/>
      <c r="D183" s="1489"/>
      <c r="E183" s="1691"/>
      <c r="F183" s="562"/>
      <c r="G183" s="562"/>
      <c r="H183" s="735"/>
      <c r="I183" s="1644"/>
      <c r="J183" s="1644"/>
      <c r="K183" s="1644"/>
      <c r="L183" s="1644"/>
      <c r="M183" s="1644"/>
      <c r="N183" s="6"/>
      <c r="O183" s="6"/>
      <c r="P183" s="6"/>
      <c r="Q183" s="6"/>
      <c r="R183" s="6"/>
      <c r="S183" s="6"/>
      <c r="T183" s="6"/>
      <c r="U183" s="6"/>
    </row>
    <row r="184" spans="1:21" x14ac:dyDescent="0.25">
      <c r="A184" s="626" t="s">
        <v>152</v>
      </c>
      <c r="B184" s="642"/>
      <c r="C184" s="642"/>
      <c r="D184" s="1491"/>
      <c r="E184" s="1691"/>
      <c r="F184" s="562"/>
      <c r="G184" s="562"/>
      <c r="H184" s="735"/>
      <c r="I184" s="1644"/>
      <c r="J184" s="1644"/>
      <c r="K184" s="1644"/>
      <c r="L184" s="1644"/>
      <c r="M184" s="1644"/>
      <c r="N184" s="6"/>
      <c r="O184" s="6"/>
      <c r="P184" s="6"/>
      <c r="Q184" s="6"/>
      <c r="R184" s="6"/>
      <c r="S184" s="6"/>
      <c r="T184" s="6"/>
      <c r="U184" s="6"/>
    </row>
    <row r="185" spans="1:21" x14ac:dyDescent="0.25">
      <c r="A185" s="1703" t="s">
        <v>153</v>
      </c>
      <c r="B185" s="1285"/>
      <c r="C185" s="625"/>
      <c r="D185" s="1299"/>
      <c r="E185" s="1299"/>
      <c r="F185" s="1321"/>
      <c r="G185" s="1321"/>
      <c r="H185" s="740"/>
      <c r="I185" s="1644"/>
      <c r="J185" s="1644"/>
      <c r="K185" s="1644"/>
      <c r="L185" s="1644"/>
      <c r="M185" s="1644"/>
      <c r="N185" s="6"/>
      <c r="O185" s="6"/>
      <c r="P185" s="6"/>
      <c r="Q185" s="6"/>
      <c r="R185" s="6"/>
      <c r="S185" s="6"/>
      <c r="T185" s="6"/>
      <c r="U185" s="6"/>
    </row>
    <row r="186" spans="1:21" ht="15" customHeight="1" x14ac:dyDescent="0.25">
      <c r="A186" s="1304" t="s">
        <v>154</v>
      </c>
      <c r="B186" s="1071"/>
      <c r="C186" s="642"/>
      <c r="D186" s="730">
        <f>$D$4*C186*30000</f>
        <v>0</v>
      </c>
      <c r="E186" s="736"/>
      <c r="F186" s="562"/>
      <c r="G186" s="562"/>
      <c r="H186" s="643"/>
      <c r="I186" s="1644"/>
      <c r="J186" s="1644"/>
      <c r="K186" s="1644"/>
      <c r="L186" s="1644"/>
      <c r="M186" s="1644"/>
      <c r="N186" s="6"/>
      <c r="O186" s="6"/>
      <c r="P186" s="6"/>
      <c r="Q186" s="6"/>
      <c r="R186" s="6"/>
      <c r="S186" s="6"/>
      <c r="T186" s="6"/>
      <c r="U186" s="6"/>
    </row>
    <row r="187" spans="1:21" x14ac:dyDescent="0.25">
      <c r="A187" s="1304" t="s">
        <v>155</v>
      </c>
      <c r="B187" s="1071"/>
      <c r="C187" s="642"/>
      <c r="D187" s="737"/>
      <c r="E187" s="736"/>
      <c r="F187" s="562"/>
      <c r="G187" s="562"/>
      <c r="H187" s="643"/>
      <c r="I187" s="1644"/>
      <c r="J187" s="1644"/>
      <c r="K187" s="1644"/>
      <c r="L187" s="1644"/>
      <c r="M187" s="1644"/>
      <c r="N187" s="6"/>
      <c r="O187" s="6"/>
      <c r="P187" s="6"/>
      <c r="Q187" s="6"/>
      <c r="R187" s="6"/>
      <c r="S187" s="6"/>
      <c r="T187" s="6"/>
      <c r="U187" s="6"/>
    </row>
    <row r="188" spans="1:21" x14ac:dyDescent="0.25">
      <c r="A188" s="1703" t="s">
        <v>156</v>
      </c>
      <c r="B188" s="1285"/>
      <c r="C188" s="628"/>
      <c r="D188" s="1321"/>
      <c r="E188" s="1321"/>
      <c r="F188" s="1321"/>
      <c r="G188" s="1321"/>
      <c r="H188" s="740"/>
      <c r="I188" s="1644"/>
      <c r="J188" s="1644"/>
      <c r="K188" s="1644"/>
      <c r="L188" s="1644"/>
      <c r="M188" s="1644"/>
      <c r="N188" s="6"/>
      <c r="O188" s="6"/>
      <c r="P188" s="6"/>
      <c r="Q188" s="6"/>
      <c r="R188" s="6"/>
      <c r="S188" s="6"/>
      <c r="T188" s="6"/>
      <c r="U188" s="6"/>
    </row>
    <row r="189" spans="1:21" ht="30" customHeight="1" x14ac:dyDescent="0.25">
      <c r="A189" s="1304" t="s">
        <v>157</v>
      </c>
      <c r="B189" s="1071"/>
      <c r="C189" s="629"/>
      <c r="D189" s="737"/>
      <c r="E189" s="736"/>
      <c r="F189" s="562"/>
      <c r="G189" s="562"/>
      <c r="H189" s="643"/>
      <c r="I189" s="1644"/>
      <c r="J189" s="1644"/>
      <c r="K189" s="1644"/>
      <c r="L189" s="1644"/>
      <c r="M189" s="1644"/>
      <c r="N189" s="6"/>
      <c r="O189" s="6"/>
      <c r="P189" s="6"/>
      <c r="Q189" s="6"/>
      <c r="R189" s="6"/>
      <c r="S189" s="6"/>
      <c r="T189" s="6"/>
      <c r="U189" s="6"/>
    </row>
    <row r="190" spans="1:21" x14ac:dyDescent="0.25">
      <c r="A190" s="1703" t="s">
        <v>158</v>
      </c>
      <c r="B190" s="1285"/>
      <c r="C190" s="628"/>
      <c r="D190" s="1321"/>
      <c r="E190" s="1321"/>
      <c r="F190" s="1321"/>
      <c r="G190" s="1321"/>
      <c r="H190" s="740"/>
      <c r="I190" s="1644"/>
      <c r="J190" s="1644"/>
      <c r="K190" s="1644"/>
      <c r="L190" s="1644"/>
      <c r="M190" s="1644"/>
      <c r="N190" s="6"/>
      <c r="O190" s="6"/>
      <c r="P190" s="6"/>
      <c r="Q190" s="6"/>
      <c r="R190" s="6"/>
      <c r="S190" s="6"/>
      <c r="T190" s="6"/>
      <c r="U190" s="6"/>
    </row>
    <row r="191" spans="1:21" x14ac:dyDescent="0.25">
      <c r="A191" s="1304" t="s">
        <v>159</v>
      </c>
      <c r="B191" s="1071"/>
      <c r="C191" s="642"/>
      <c r="D191" s="642"/>
      <c r="E191" s="736"/>
      <c r="F191" s="562"/>
      <c r="G191" s="562"/>
      <c r="H191" s="643"/>
      <c r="I191" s="1644"/>
      <c r="J191" s="1644"/>
      <c r="K191" s="1644"/>
      <c r="L191" s="1644"/>
      <c r="M191" s="1644"/>
      <c r="N191" s="6"/>
      <c r="O191" s="6"/>
      <c r="P191" s="6"/>
      <c r="Q191" s="6"/>
      <c r="R191" s="6"/>
      <c r="S191" s="6"/>
      <c r="T191" s="6"/>
      <c r="U191" s="6"/>
    </row>
    <row r="192" spans="1:21" x14ac:dyDescent="0.25">
      <c r="A192" s="1703" t="s">
        <v>160</v>
      </c>
      <c r="B192" s="1285"/>
      <c r="C192" s="628"/>
      <c r="D192" s="1321"/>
      <c r="E192" s="1321"/>
      <c r="F192" s="1321"/>
      <c r="G192" s="1321"/>
      <c r="H192" s="740"/>
      <c r="I192" s="1644"/>
      <c r="J192" s="1644"/>
      <c r="K192" s="1644"/>
      <c r="L192" s="1644"/>
      <c r="M192" s="1644"/>
      <c r="N192" s="6"/>
      <c r="O192" s="6"/>
      <c r="P192" s="6"/>
      <c r="Q192" s="6"/>
      <c r="R192" s="6"/>
      <c r="S192" s="6"/>
      <c r="T192" s="6"/>
      <c r="U192" s="6"/>
    </row>
    <row r="193" spans="1:21" s="9" customFormat="1" x14ac:dyDescent="0.25">
      <c r="A193" s="1304" t="s">
        <v>161</v>
      </c>
      <c r="B193" s="1071"/>
      <c r="C193" s="642"/>
      <c r="D193" s="730">
        <f>$D$4*C193*10000</f>
        <v>0</v>
      </c>
      <c r="E193" s="736"/>
      <c r="F193" s="562"/>
      <c r="G193" s="562"/>
      <c r="H193" s="643"/>
      <c r="I193" s="1644"/>
      <c r="J193" s="1644"/>
      <c r="K193" s="1644"/>
      <c r="L193" s="1644"/>
      <c r="M193" s="1644"/>
    </row>
    <row r="194" spans="1:21" s="9" customFormat="1" ht="30" customHeight="1" thickBot="1" x14ac:dyDescent="0.3">
      <c r="A194" s="1701" t="s">
        <v>162</v>
      </c>
      <c r="B194" s="1702"/>
      <c r="C194" s="741"/>
      <c r="D194" s="815">
        <f>$D$4*C194*(500*12)</f>
        <v>0</v>
      </c>
      <c r="E194" s="816"/>
      <c r="F194" s="742"/>
      <c r="G194" s="742"/>
      <c r="H194" s="817"/>
      <c r="I194" s="1644"/>
      <c r="J194" s="1644"/>
      <c r="K194" s="1644"/>
      <c r="L194" s="1644"/>
      <c r="M194" s="1644"/>
    </row>
    <row r="195" spans="1:21" ht="15.75" thickBot="1" x14ac:dyDescent="0.3">
      <c r="A195" s="1699" t="s">
        <v>163</v>
      </c>
      <c r="B195" s="1700"/>
      <c r="C195" s="1700"/>
      <c r="D195" s="743">
        <f>SUM(D168,D169,D170,D172,D173,D174,D176,D177,D178,D179,D181,D186,D187,D189,D191,D193,D194)</f>
        <v>0</v>
      </c>
      <c r="E195" s="738">
        <f t="shared" ref="E195:H195" si="8">SUM(E168,E169,E170,E172,E173,E174,E176,E177,E178,E179,E181,E186,E187,E189,E191,E193,E194)</f>
        <v>0</v>
      </c>
      <c r="F195" s="738">
        <f t="shared" si="8"/>
        <v>0</v>
      </c>
      <c r="G195" s="738">
        <f>SUM(G168,G169,G170,G172,G173,G174,G176,G177,G178,G179,G181,G186,G187,G189,G191,G193,G194)</f>
        <v>0</v>
      </c>
      <c r="H195" s="739">
        <f t="shared" si="8"/>
        <v>0</v>
      </c>
      <c r="I195" s="1647"/>
      <c r="J195" s="1647"/>
      <c r="K195" s="1647"/>
      <c r="L195" s="1647"/>
      <c r="M195" s="1647"/>
      <c r="N195" s="6"/>
      <c r="O195" s="6"/>
      <c r="P195" s="6"/>
      <c r="Q195" s="6"/>
      <c r="R195" s="6"/>
      <c r="S195" s="6"/>
      <c r="T195" s="6"/>
      <c r="U195" s="6"/>
    </row>
    <row r="196" spans="1:21" ht="15.75" thickBot="1" x14ac:dyDescent="0.3">
      <c r="A196" s="518"/>
      <c r="B196" s="71"/>
      <c r="C196" s="6"/>
      <c r="D196" s="6"/>
      <c r="E196" s="6"/>
      <c r="F196" s="6"/>
      <c r="G196" s="6"/>
      <c r="H196" s="6"/>
      <c r="I196" s="6"/>
      <c r="J196" s="6"/>
      <c r="K196" s="6"/>
      <c r="L196" s="6"/>
      <c r="M196" s="6"/>
      <c r="N196" s="6"/>
      <c r="O196" s="6"/>
      <c r="P196" s="6"/>
      <c r="Q196" s="6"/>
      <c r="R196" s="6"/>
      <c r="S196" s="6"/>
      <c r="T196" s="6"/>
      <c r="U196" s="6"/>
    </row>
    <row r="197" spans="1:21" s="133" customFormat="1" ht="20.25" customHeight="1" x14ac:dyDescent="0.3">
      <c r="A197" s="600" t="s">
        <v>804</v>
      </c>
      <c r="B197" s="601"/>
      <c r="C197" s="601"/>
      <c r="D197" s="601"/>
      <c r="E197" s="601"/>
      <c r="F197" s="601"/>
      <c r="G197" s="601"/>
      <c r="H197" s="744"/>
      <c r="I197" s="1640" t="s">
        <v>40</v>
      </c>
      <c r="J197" s="1641"/>
      <c r="K197" s="1641"/>
      <c r="L197" s="1641"/>
      <c r="M197" s="1642"/>
    </row>
    <row r="198" spans="1:21" s="9" customFormat="1" ht="12.75" customHeight="1" x14ac:dyDescent="0.25">
      <c r="A198" s="563"/>
      <c r="B198" s="134"/>
      <c r="C198" s="134"/>
      <c r="D198" s="134"/>
      <c r="E198" s="134"/>
      <c r="F198" s="134"/>
      <c r="G198" s="134"/>
      <c r="H198" s="745"/>
      <c r="I198" s="1692"/>
      <c r="J198" s="1693"/>
      <c r="K198" s="1693"/>
      <c r="L198" s="1693"/>
      <c r="M198" s="1694"/>
    </row>
    <row r="199" spans="1:21" s="9" customFormat="1" ht="38.25" customHeight="1" x14ac:dyDescent="0.25">
      <c r="A199" s="564" t="s">
        <v>43</v>
      </c>
      <c r="B199" s="135" t="s">
        <v>164</v>
      </c>
      <c r="C199" s="1332" t="s">
        <v>114</v>
      </c>
      <c r="D199" s="1332"/>
      <c r="E199" s="1332" t="s">
        <v>839</v>
      </c>
      <c r="F199" s="1332"/>
      <c r="G199" s="1655" t="s">
        <v>831</v>
      </c>
      <c r="H199" s="1811"/>
      <c r="I199" s="1692"/>
      <c r="J199" s="1693"/>
      <c r="K199" s="1693"/>
      <c r="L199" s="1693"/>
      <c r="M199" s="1694"/>
    </row>
    <row r="200" spans="1:21" x14ac:dyDescent="0.25">
      <c r="A200" s="136" t="s">
        <v>165</v>
      </c>
      <c r="B200" s="1786">
        <f>$D$4*80000*(H9/10)+$D$4*50000</f>
        <v>0</v>
      </c>
      <c r="C200" s="1698"/>
      <c r="D200" s="1698"/>
      <c r="E200" s="1698"/>
      <c r="F200" s="1698"/>
      <c r="G200" s="1806"/>
      <c r="H200" s="1807"/>
      <c r="I200" s="1692"/>
      <c r="J200" s="1693"/>
      <c r="K200" s="1693"/>
      <c r="L200" s="1693"/>
      <c r="M200" s="1694"/>
      <c r="N200" s="6"/>
      <c r="O200" s="6"/>
      <c r="P200" s="6"/>
      <c r="Q200" s="6"/>
      <c r="R200" s="6"/>
      <c r="S200" s="6"/>
      <c r="T200" s="6"/>
      <c r="U200" s="6"/>
    </row>
    <row r="201" spans="1:21" x14ac:dyDescent="0.25">
      <c r="A201" s="136" t="s">
        <v>166</v>
      </c>
      <c r="B201" s="1787"/>
      <c r="C201" s="1698"/>
      <c r="D201" s="1698"/>
      <c r="E201" s="1698"/>
      <c r="F201" s="1698"/>
      <c r="G201" s="1806"/>
      <c r="H201" s="1807"/>
      <c r="I201" s="1692"/>
      <c r="J201" s="1693"/>
      <c r="K201" s="1693"/>
      <c r="L201" s="1693"/>
      <c r="M201" s="1694"/>
      <c r="N201" s="6"/>
      <c r="O201" s="6"/>
      <c r="P201" s="6"/>
      <c r="Q201" s="6"/>
      <c r="R201" s="6"/>
      <c r="S201" s="6"/>
      <c r="T201" s="6"/>
      <c r="U201" s="6"/>
    </row>
    <row r="202" spans="1:21" x14ac:dyDescent="0.25">
      <c r="A202" s="136" t="s">
        <v>167</v>
      </c>
      <c r="B202" s="1787"/>
      <c r="C202" s="1698"/>
      <c r="D202" s="1698"/>
      <c r="E202" s="1698"/>
      <c r="F202" s="1698"/>
      <c r="G202" s="1806"/>
      <c r="H202" s="1807"/>
      <c r="I202" s="1692"/>
      <c r="J202" s="1693"/>
      <c r="K202" s="1693"/>
      <c r="L202" s="1693"/>
      <c r="M202" s="1694"/>
      <c r="N202" s="6"/>
      <c r="O202" s="6"/>
      <c r="P202" s="6"/>
      <c r="Q202" s="6"/>
      <c r="R202" s="6"/>
      <c r="S202" s="6"/>
      <c r="T202" s="6"/>
      <c r="U202" s="6"/>
    </row>
    <row r="203" spans="1:21" x14ac:dyDescent="0.25">
      <c r="A203" s="136" t="s">
        <v>168</v>
      </c>
      <c r="B203" s="1787"/>
      <c r="C203" s="1698"/>
      <c r="D203" s="1698"/>
      <c r="E203" s="1698"/>
      <c r="F203" s="1698"/>
      <c r="G203" s="1806"/>
      <c r="H203" s="1807"/>
      <c r="I203" s="1692"/>
      <c r="J203" s="1693"/>
      <c r="K203" s="1693"/>
      <c r="L203" s="1693"/>
      <c r="M203" s="1694"/>
      <c r="N203" s="6"/>
      <c r="O203" s="6"/>
      <c r="P203" s="6"/>
      <c r="Q203" s="6"/>
      <c r="R203" s="6"/>
      <c r="S203" s="6"/>
      <c r="T203" s="6"/>
      <c r="U203" s="6"/>
    </row>
    <row r="204" spans="1:21" ht="28.5" x14ac:dyDescent="0.25">
      <c r="A204" s="136" t="s">
        <v>169</v>
      </c>
      <c r="B204" s="1787"/>
      <c r="C204" s="1698"/>
      <c r="D204" s="1698"/>
      <c r="E204" s="1698"/>
      <c r="F204" s="1698"/>
      <c r="G204" s="1806"/>
      <c r="H204" s="1807"/>
      <c r="I204" s="1692"/>
      <c r="J204" s="1693"/>
      <c r="K204" s="1693"/>
      <c r="L204" s="1693"/>
      <c r="M204" s="1694"/>
      <c r="N204" s="6"/>
      <c r="O204" s="6"/>
      <c r="P204" s="6"/>
      <c r="Q204" s="6"/>
      <c r="R204" s="6"/>
      <c r="S204" s="6"/>
      <c r="T204" s="6"/>
      <c r="U204" s="6"/>
    </row>
    <row r="205" spans="1:21" x14ac:dyDescent="0.25">
      <c r="A205" s="565" t="s">
        <v>170</v>
      </c>
      <c r="B205" s="1788"/>
      <c r="C205" s="1698"/>
      <c r="D205" s="1698"/>
      <c r="E205" s="1698"/>
      <c r="F205" s="1698"/>
      <c r="G205" s="1806"/>
      <c r="H205" s="1807"/>
      <c r="I205" s="1692"/>
      <c r="J205" s="1693"/>
      <c r="K205" s="1693"/>
      <c r="L205" s="1693"/>
      <c r="M205" s="1694"/>
      <c r="N205" s="6"/>
      <c r="O205" s="6"/>
      <c r="P205" s="6"/>
      <c r="Q205" s="6"/>
      <c r="R205" s="6"/>
      <c r="S205" s="6"/>
      <c r="T205" s="6"/>
      <c r="U205" s="6"/>
    </row>
    <row r="206" spans="1:21" x14ac:dyDescent="0.25">
      <c r="A206" s="136" t="s">
        <v>171</v>
      </c>
      <c r="B206" s="17">
        <f>$D$4*H27*24000</f>
        <v>0</v>
      </c>
      <c r="C206" s="1698"/>
      <c r="D206" s="1698"/>
      <c r="E206" s="1698"/>
      <c r="F206" s="1698"/>
      <c r="G206" s="1806"/>
      <c r="H206" s="1807"/>
      <c r="I206" s="1692"/>
      <c r="J206" s="1693"/>
      <c r="K206" s="1693"/>
      <c r="L206" s="1693"/>
      <c r="M206" s="1694"/>
      <c r="N206" s="6"/>
      <c r="O206" s="6"/>
      <c r="P206" s="6"/>
      <c r="Q206" s="6"/>
      <c r="R206" s="6"/>
      <c r="S206" s="6"/>
      <c r="T206" s="6"/>
      <c r="U206" s="6"/>
    </row>
    <row r="207" spans="1:21" ht="15.75" thickBot="1" x14ac:dyDescent="0.3">
      <c r="A207" s="137" t="s">
        <v>805</v>
      </c>
      <c r="B207" s="641">
        <f>$D$4*H26*24000</f>
        <v>0</v>
      </c>
      <c r="C207" s="1805"/>
      <c r="D207" s="1805"/>
      <c r="E207" s="1805"/>
      <c r="F207" s="1805"/>
      <c r="G207" s="1808"/>
      <c r="H207" s="1809"/>
      <c r="I207" s="1692"/>
      <c r="J207" s="1693"/>
      <c r="K207" s="1693"/>
      <c r="L207" s="1693"/>
      <c r="M207" s="1694"/>
      <c r="N207" s="6"/>
      <c r="O207" s="6"/>
      <c r="P207" s="6"/>
      <c r="Q207" s="6"/>
      <c r="R207" s="6"/>
      <c r="S207" s="6"/>
      <c r="T207" s="6"/>
      <c r="U207" s="6"/>
    </row>
    <row r="208" spans="1:21" ht="15.75" thickBot="1" x14ac:dyDescent="0.3">
      <c r="A208" s="566" t="s">
        <v>2</v>
      </c>
      <c r="B208" s="567">
        <f>SUM(B200:B207)</f>
        <v>0</v>
      </c>
      <c r="C208" s="1352">
        <f>SUM(C200:D207)</f>
        <v>0</v>
      </c>
      <c r="D208" s="1353"/>
      <c r="E208" s="1352">
        <f>SUM(E200:F207)</f>
        <v>0</v>
      </c>
      <c r="F208" s="1353"/>
      <c r="G208" s="1352">
        <f>SUM(G200:I207)</f>
        <v>0</v>
      </c>
      <c r="H208" s="1810"/>
      <c r="I208" s="1695"/>
      <c r="J208" s="1696"/>
      <c r="K208" s="1696"/>
      <c r="L208" s="1696"/>
      <c r="M208" s="1697"/>
      <c r="N208" s="6"/>
      <c r="O208" s="6"/>
      <c r="P208" s="6"/>
      <c r="Q208" s="6"/>
      <c r="R208" s="6"/>
      <c r="S208" s="6"/>
      <c r="T208" s="6"/>
      <c r="U208" s="6"/>
    </row>
    <row r="209" spans="1:21" s="9" customFormat="1" ht="15.75" thickBot="1" x14ac:dyDescent="0.3">
      <c r="A209" s="568"/>
      <c r="B209" s="110"/>
      <c r="C209" s="81"/>
      <c r="D209" s="139"/>
      <c r="E209" s="139"/>
      <c r="F209" s="139"/>
      <c r="G209" s="139"/>
      <c r="H209" s="139"/>
      <c r="I209" s="139"/>
      <c r="J209" s="140"/>
      <c r="K209" s="141"/>
      <c r="L209" s="140"/>
      <c r="M209" s="142"/>
    </row>
    <row r="210" spans="1:21" s="143" customFormat="1" ht="15.75" customHeight="1" x14ac:dyDescent="0.25">
      <c r="A210" s="1359" t="s">
        <v>806</v>
      </c>
      <c r="B210" s="1360"/>
      <c r="C210" s="1360"/>
      <c r="D210" s="1360"/>
      <c r="E210" s="1360"/>
      <c r="F210" s="1360"/>
      <c r="G210" s="1360"/>
      <c r="H210" s="1360"/>
      <c r="I210" s="1640" t="s">
        <v>40</v>
      </c>
      <c r="J210" s="1641"/>
      <c r="K210" s="1641"/>
      <c r="L210" s="1641"/>
      <c r="M210" s="1642"/>
      <c r="N210" s="144"/>
    </row>
    <row r="211" spans="1:21" s="9" customFormat="1" ht="15.75" customHeight="1" x14ac:dyDescent="0.25">
      <c r="A211" s="563"/>
      <c r="B211" s="145"/>
      <c r="C211" s="145"/>
      <c r="D211" s="145"/>
      <c r="E211" s="145"/>
      <c r="F211" s="145"/>
      <c r="H211" s="145"/>
      <c r="I211" s="1658"/>
      <c r="J211" s="1659"/>
      <c r="K211" s="1659"/>
      <c r="L211" s="1659"/>
      <c r="M211" s="1660"/>
      <c r="N211" s="104"/>
    </row>
    <row r="212" spans="1:21" s="9" customFormat="1" ht="70.5" customHeight="1" x14ac:dyDescent="0.25">
      <c r="A212" s="1332" t="s">
        <v>114</v>
      </c>
      <c r="B212" s="1332"/>
      <c r="C212" s="630" t="s">
        <v>863</v>
      </c>
      <c r="D212" s="630" t="s">
        <v>839</v>
      </c>
      <c r="E212" s="630" t="s">
        <v>864</v>
      </c>
      <c r="F212" s="630" t="s">
        <v>865</v>
      </c>
      <c r="G212" s="1332" t="s">
        <v>836</v>
      </c>
      <c r="H212" s="1655"/>
      <c r="I212" s="1658"/>
      <c r="J212" s="1659"/>
      <c r="K212" s="1659"/>
      <c r="L212" s="1659"/>
      <c r="M212" s="1660"/>
      <c r="N212" s="104"/>
    </row>
    <row r="213" spans="1:21" s="9" customFormat="1" ht="28.5" customHeight="1" thickBot="1" x14ac:dyDescent="0.3">
      <c r="A213" s="1653"/>
      <c r="B213" s="1654"/>
      <c r="C213" s="747"/>
      <c r="D213" s="818"/>
      <c r="E213" s="818"/>
      <c r="F213" s="819"/>
      <c r="G213" s="1656"/>
      <c r="H213" s="1657"/>
      <c r="I213" s="1661"/>
      <c r="J213" s="1662"/>
      <c r="K213" s="1662"/>
      <c r="L213" s="1662"/>
      <c r="M213" s="1663"/>
    </row>
    <row r="214" spans="1:21" s="9" customFormat="1" ht="28.5" customHeight="1" thickBot="1" x14ac:dyDescent="0.3">
      <c r="A214" s="103"/>
      <c r="B214" s="103"/>
      <c r="C214" s="103"/>
      <c r="D214" s="103"/>
      <c r="E214" s="103"/>
      <c r="F214" s="103"/>
      <c r="G214" s="146"/>
      <c r="H214" s="146"/>
      <c r="I214" s="147"/>
      <c r="J214" s="148"/>
      <c r="K214" s="34"/>
      <c r="L214" s="34"/>
      <c r="M214" s="34"/>
    </row>
    <row r="215" spans="1:21" s="133" customFormat="1" ht="17.25" customHeight="1" x14ac:dyDescent="0.3">
      <c r="A215" s="1359" t="s">
        <v>283</v>
      </c>
      <c r="B215" s="1360"/>
      <c r="C215" s="1360"/>
      <c r="D215" s="1360"/>
      <c r="E215" s="1360"/>
      <c r="F215" s="1360"/>
      <c r="G215" s="1360"/>
      <c r="H215" s="1690"/>
      <c r="I215" s="1641" t="s">
        <v>40</v>
      </c>
      <c r="J215" s="1641"/>
      <c r="K215" s="1641"/>
      <c r="L215" s="1641"/>
      <c r="M215" s="1641"/>
    </row>
    <row r="216" spans="1:21" ht="12.75" customHeight="1" x14ac:dyDescent="0.25">
      <c r="A216" s="553"/>
      <c r="B216" s="636"/>
      <c r="C216" s="646"/>
      <c r="D216" s="646"/>
      <c r="E216" s="646"/>
      <c r="F216" s="646"/>
      <c r="G216" s="646"/>
      <c r="H216" s="724"/>
      <c r="I216" s="1644"/>
      <c r="J216" s="1644"/>
      <c r="K216" s="1644"/>
      <c r="L216" s="1644"/>
      <c r="M216" s="1644"/>
      <c r="N216" s="6"/>
      <c r="O216" s="6"/>
      <c r="P216" s="6"/>
      <c r="Q216" s="6"/>
      <c r="R216" s="6"/>
      <c r="S216" s="6"/>
      <c r="T216" s="6"/>
      <c r="U216" s="6"/>
    </row>
    <row r="217" spans="1:21" ht="48" customHeight="1" x14ac:dyDescent="0.25">
      <c r="A217" s="1664" t="s">
        <v>164</v>
      </c>
      <c r="B217" s="953"/>
      <c r="C217" s="982" t="s">
        <v>114</v>
      </c>
      <c r="D217" s="982"/>
      <c r="E217" s="612" t="s">
        <v>839</v>
      </c>
      <c r="F217" s="612" t="s">
        <v>866</v>
      </c>
      <c r="G217" s="982" t="s">
        <v>831</v>
      </c>
      <c r="H217" s="1637"/>
      <c r="I217" s="1644"/>
      <c r="J217" s="1644"/>
      <c r="K217" s="1644"/>
      <c r="L217" s="1644"/>
      <c r="M217" s="1644"/>
      <c r="N217" s="6"/>
      <c r="O217" s="6"/>
      <c r="P217" s="6"/>
      <c r="Q217" s="6"/>
      <c r="R217" s="6"/>
      <c r="S217" s="6"/>
      <c r="T217" s="6"/>
      <c r="U217" s="6"/>
    </row>
    <row r="218" spans="1:21" ht="31.5" customHeight="1" thickBot="1" x14ac:dyDescent="0.3">
      <c r="A218" s="1665">
        <f>$D$4*(H9/10)*225000*34%</f>
        <v>0</v>
      </c>
      <c r="B218" s="1666"/>
      <c r="C218" s="1688"/>
      <c r="D218" s="1688"/>
      <c r="E218" s="748"/>
      <c r="F218" s="749"/>
      <c r="G218" s="1688"/>
      <c r="H218" s="1689"/>
      <c r="I218" s="1644"/>
      <c r="J218" s="1644"/>
      <c r="K218" s="1644"/>
      <c r="L218" s="1644"/>
      <c r="M218" s="1644"/>
      <c r="N218" s="6"/>
      <c r="O218" s="6"/>
      <c r="P218" s="6"/>
      <c r="Q218" s="6"/>
      <c r="R218" s="6"/>
      <c r="S218" s="6"/>
      <c r="T218" s="6"/>
      <c r="U218" s="6"/>
    </row>
    <row r="219" spans="1:21" ht="15.75" thickBot="1" x14ac:dyDescent="0.3">
      <c r="O219" s="6"/>
      <c r="P219" s="6"/>
      <c r="Q219" s="6"/>
      <c r="R219" s="6"/>
      <c r="S219" s="6"/>
      <c r="T219" s="6"/>
      <c r="U219" s="6"/>
    </row>
    <row r="220" spans="1:21" s="105" customFormat="1" ht="18.75" x14ac:dyDescent="0.3">
      <c r="A220" s="1393" t="s">
        <v>284</v>
      </c>
      <c r="B220" s="1394"/>
      <c r="C220" s="1394"/>
      <c r="D220" s="1394"/>
      <c r="E220" s="1394"/>
      <c r="F220" s="1394"/>
      <c r="G220" s="1394"/>
      <c r="H220" s="1930"/>
      <c r="I220" s="1640" t="s">
        <v>40</v>
      </c>
      <c r="J220" s="1641"/>
      <c r="K220" s="1641"/>
      <c r="L220" s="1641"/>
      <c r="M220" s="1642"/>
      <c r="N220" s="106"/>
    </row>
    <row r="221" spans="1:21" ht="15" customHeight="1" x14ac:dyDescent="0.25">
      <c r="A221" s="513"/>
      <c r="B221" s="514"/>
      <c r="C221" s="10"/>
      <c r="D221" s="10"/>
      <c r="E221" s="10"/>
      <c r="F221" s="10"/>
      <c r="G221" s="10"/>
      <c r="H221" s="11"/>
      <c r="I221" s="1931"/>
      <c r="J221" s="1832"/>
      <c r="K221" s="1832"/>
      <c r="L221" s="1832"/>
      <c r="M221" s="1932"/>
      <c r="N221" s="6"/>
      <c r="O221" s="6"/>
      <c r="P221" s="6"/>
      <c r="Q221" s="6"/>
      <c r="R221" s="6"/>
      <c r="S221" s="6"/>
      <c r="T221" s="6"/>
      <c r="U221" s="6"/>
    </row>
    <row r="222" spans="1:21" x14ac:dyDescent="0.25">
      <c r="A222" s="1377" t="s">
        <v>807</v>
      </c>
      <c r="B222" s="909"/>
      <c r="C222" s="909"/>
      <c r="D222" s="909"/>
      <c r="E222" s="909"/>
      <c r="F222" s="909"/>
      <c r="G222" s="909"/>
      <c r="H222" s="820" t="s">
        <v>808</v>
      </c>
      <c r="I222" s="1643"/>
      <c r="J222" s="1644"/>
      <c r="K222" s="1644"/>
      <c r="L222" s="1644"/>
      <c r="M222" s="1645"/>
      <c r="N222" s="6"/>
      <c r="O222" s="6"/>
      <c r="P222" s="6"/>
      <c r="Q222" s="6"/>
      <c r="R222" s="6"/>
      <c r="S222" s="6"/>
      <c r="T222" s="6"/>
      <c r="U222" s="6"/>
    </row>
    <row r="223" spans="1:21" ht="15.75" thickBot="1" x14ac:dyDescent="0.3">
      <c r="A223" s="1790" t="s">
        <v>174</v>
      </c>
      <c r="B223" s="1791"/>
      <c r="C223" s="1791"/>
      <c r="D223" s="1791"/>
      <c r="E223" s="1791"/>
      <c r="F223" s="1791"/>
      <c r="G223" s="1791"/>
      <c r="H223" s="821" t="s">
        <v>808</v>
      </c>
      <c r="I223" s="1643"/>
      <c r="J223" s="1644"/>
      <c r="K223" s="1644"/>
      <c r="L223" s="1644"/>
      <c r="M223" s="1645"/>
      <c r="N223" s="6"/>
      <c r="O223" s="6"/>
      <c r="P223" s="6"/>
      <c r="Q223" s="6"/>
      <c r="R223" s="6"/>
      <c r="S223" s="6"/>
      <c r="T223" s="6"/>
      <c r="U223" s="6"/>
    </row>
    <row r="224" spans="1:21" ht="15.75" thickBot="1" x14ac:dyDescent="0.3">
      <c r="A224" s="1792" t="s">
        <v>175</v>
      </c>
      <c r="B224" s="1793"/>
      <c r="C224" s="1793"/>
      <c r="D224" s="1793"/>
      <c r="E224" s="1793"/>
      <c r="F224" s="1793"/>
      <c r="G224" s="1793"/>
      <c r="H224" s="750"/>
      <c r="I224" s="1646"/>
      <c r="J224" s="1647"/>
      <c r="K224" s="1647"/>
      <c r="L224" s="1647"/>
      <c r="M224" s="1648"/>
      <c r="N224" s="6"/>
      <c r="O224" s="6"/>
      <c r="P224" s="6"/>
      <c r="Q224" s="6"/>
      <c r="R224" s="6"/>
      <c r="S224" s="6"/>
      <c r="T224" s="6"/>
      <c r="U224" s="6"/>
    </row>
    <row r="225" spans="1:21" ht="15" customHeight="1" thickBot="1" x14ac:dyDescent="0.3">
      <c r="O225" s="6"/>
      <c r="P225" s="6"/>
      <c r="Q225" s="6"/>
      <c r="R225" s="6"/>
      <c r="S225" s="6"/>
      <c r="T225" s="6"/>
      <c r="U225" s="6"/>
    </row>
    <row r="226" spans="1:21" s="143" customFormat="1" ht="15.75" customHeight="1" x14ac:dyDescent="0.25">
      <c r="A226" s="1000" t="s">
        <v>285</v>
      </c>
      <c r="B226" s="1001"/>
      <c r="C226" s="1001"/>
      <c r="D226" s="1001"/>
      <c r="E226" s="1001"/>
      <c r="F226" s="1001"/>
      <c r="G226" s="1001"/>
      <c r="H226" s="1687"/>
      <c r="I226" s="1640" t="s">
        <v>40</v>
      </c>
      <c r="J226" s="1641"/>
      <c r="K226" s="1641"/>
      <c r="L226" s="1641"/>
      <c r="M226" s="1642"/>
      <c r="N226" s="144"/>
    </row>
    <row r="227" spans="1:21" ht="16.5" customHeight="1" x14ac:dyDescent="0.25">
      <c r="A227" s="751"/>
      <c r="B227" s="644"/>
      <c r="C227" s="644"/>
      <c r="D227" s="1789"/>
      <c r="E227" s="1789"/>
      <c r="F227" s="644"/>
      <c r="G227" s="1789"/>
      <c r="H227" s="1794"/>
      <c r="I227" s="1795"/>
      <c r="J227" s="1796"/>
      <c r="K227" s="1796"/>
      <c r="L227" s="1796"/>
      <c r="M227" s="1797"/>
      <c r="N227" s="6"/>
      <c r="O227" s="6"/>
      <c r="P227" s="6"/>
      <c r="Q227" s="6"/>
      <c r="R227" s="6"/>
      <c r="S227" s="6"/>
      <c r="T227" s="6"/>
      <c r="U227" s="6"/>
    </row>
    <row r="228" spans="1:21" ht="45" customHeight="1" x14ac:dyDescent="0.25">
      <c r="A228" s="754" t="s">
        <v>276</v>
      </c>
      <c r="B228" s="612" t="s">
        <v>809</v>
      </c>
      <c r="C228" s="612" t="s">
        <v>114</v>
      </c>
      <c r="D228" s="982" t="s">
        <v>839</v>
      </c>
      <c r="E228" s="982"/>
      <c r="F228" s="612" t="s">
        <v>857</v>
      </c>
      <c r="G228" s="982" t="s">
        <v>831</v>
      </c>
      <c r="H228" s="1637"/>
      <c r="I228" s="1798"/>
      <c r="J228" s="1799"/>
      <c r="K228" s="1799"/>
      <c r="L228" s="1799"/>
      <c r="M228" s="1800"/>
      <c r="O228" s="6"/>
      <c r="P228" s="6"/>
      <c r="Q228" s="6"/>
      <c r="R228" s="6"/>
      <c r="S228" s="6"/>
      <c r="T228" s="6"/>
      <c r="U228" s="6"/>
    </row>
    <row r="229" spans="1:21" ht="15" customHeight="1" x14ac:dyDescent="0.25">
      <c r="A229" s="516" t="s">
        <v>902</v>
      </c>
      <c r="B229" s="755"/>
      <c r="C229" s="639"/>
      <c r="D229" s="1214"/>
      <c r="E229" s="1214"/>
      <c r="F229" s="620"/>
      <c r="G229" s="1214"/>
      <c r="H229" s="1215"/>
      <c r="I229" s="1798"/>
      <c r="J229" s="1799"/>
      <c r="K229" s="1799"/>
      <c r="L229" s="1799"/>
      <c r="M229" s="1800"/>
      <c r="O229" s="6"/>
      <c r="P229" s="6"/>
      <c r="Q229" s="6"/>
      <c r="R229" s="6"/>
      <c r="S229" s="6"/>
      <c r="T229" s="6"/>
      <c r="U229" s="6"/>
    </row>
    <row r="230" spans="1:21" ht="15" customHeight="1" x14ac:dyDescent="0.25">
      <c r="A230" s="516" t="s">
        <v>278</v>
      </c>
      <c r="B230" s="755"/>
      <c r="C230" s="639"/>
      <c r="D230" s="1214"/>
      <c r="E230" s="1214"/>
      <c r="F230" s="620"/>
      <c r="G230" s="1214"/>
      <c r="H230" s="1215"/>
      <c r="I230" s="1798"/>
      <c r="J230" s="1799"/>
      <c r="K230" s="1799"/>
      <c r="L230" s="1799"/>
      <c r="M230" s="1800"/>
      <c r="O230" s="6"/>
      <c r="P230" s="6"/>
      <c r="Q230" s="6"/>
      <c r="R230" s="6"/>
      <c r="S230" s="6"/>
      <c r="T230" s="6"/>
      <c r="U230" s="6"/>
    </row>
    <row r="231" spans="1:21" ht="15" customHeight="1" x14ac:dyDescent="0.25">
      <c r="A231" s="516" t="s">
        <v>279</v>
      </c>
      <c r="B231" s="755"/>
      <c r="C231" s="639"/>
      <c r="D231" s="1214"/>
      <c r="E231" s="1214"/>
      <c r="F231" s="620"/>
      <c r="G231" s="1214"/>
      <c r="H231" s="1215"/>
      <c r="I231" s="1798"/>
      <c r="J231" s="1799"/>
      <c r="K231" s="1799"/>
      <c r="L231" s="1799"/>
      <c r="M231" s="1800"/>
      <c r="O231" s="6"/>
      <c r="P231" s="6"/>
      <c r="Q231" s="6"/>
      <c r="R231" s="6"/>
      <c r="S231" s="6"/>
      <c r="T231" s="6"/>
      <c r="U231" s="6"/>
    </row>
    <row r="232" spans="1:21" ht="15" customHeight="1" thickBot="1" x14ac:dyDescent="0.3">
      <c r="A232" s="550" t="s">
        <v>280</v>
      </c>
      <c r="B232" s="756"/>
      <c r="C232" s="640"/>
      <c r="D232" s="1217"/>
      <c r="E232" s="1217"/>
      <c r="F232" s="621"/>
      <c r="G232" s="1217"/>
      <c r="H232" s="1218"/>
      <c r="I232" s="1798"/>
      <c r="J232" s="1799"/>
      <c r="K232" s="1799"/>
      <c r="L232" s="1799"/>
      <c r="M232" s="1800"/>
      <c r="O232" s="6"/>
      <c r="P232" s="6"/>
      <c r="Q232" s="6"/>
      <c r="R232" s="6"/>
      <c r="S232" s="6"/>
      <c r="T232" s="6"/>
      <c r="U232" s="6"/>
    </row>
    <row r="233" spans="1:21" ht="15.75" thickBot="1" x14ac:dyDescent="0.3">
      <c r="A233" s="1618" t="s">
        <v>2</v>
      </c>
      <c r="B233" s="1619"/>
      <c r="C233" s="758">
        <f>SUM(C229:C232)</f>
        <v>0</v>
      </c>
      <c r="D233" s="1804">
        <f t="shared" ref="D233:H233" si="9">SUM(D229:D232)</f>
        <v>0</v>
      </c>
      <c r="E233" s="1804">
        <f t="shared" si="9"/>
        <v>0</v>
      </c>
      <c r="F233" s="759">
        <f t="shared" si="9"/>
        <v>0</v>
      </c>
      <c r="G233" s="1804">
        <f t="shared" si="9"/>
        <v>0</v>
      </c>
      <c r="H233" s="1954">
        <f t="shared" si="9"/>
        <v>0</v>
      </c>
      <c r="I233" s="1801"/>
      <c r="J233" s="1802"/>
      <c r="K233" s="1802"/>
      <c r="L233" s="1802"/>
      <c r="M233" s="1803"/>
      <c r="O233" s="6"/>
      <c r="P233" s="6"/>
      <c r="Q233" s="6"/>
      <c r="R233" s="6"/>
      <c r="S233" s="6"/>
      <c r="T233" s="6"/>
      <c r="U233" s="6"/>
    </row>
    <row r="234" spans="1:21" s="9" customFormat="1" ht="15.75" thickBot="1" x14ac:dyDescent="0.3">
      <c r="A234" s="563"/>
      <c r="B234" s="568"/>
      <c r="D234" s="752"/>
      <c r="E234" s="752"/>
      <c r="F234" s="568"/>
      <c r="G234" s="752"/>
      <c r="H234" s="752"/>
      <c r="I234" s="753"/>
      <c r="J234" s="753"/>
      <c r="K234" s="753"/>
      <c r="L234" s="753"/>
      <c r="M234" s="753"/>
      <c r="N234" s="104"/>
    </row>
    <row r="235" spans="1:21" s="143" customFormat="1" ht="15.75" customHeight="1" x14ac:dyDescent="0.25">
      <c r="A235" s="595" t="s">
        <v>286</v>
      </c>
      <c r="B235" s="596"/>
      <c r="C235" s="596"/>
      <c r="D235" s="596"/>
      <c r="E235" s="596"/>
      <c r="F235" s="596"/>
      <c r="G235" s="596"/>
      <c r="H235" s="760"/>
      <c r="I235" s="1640" t="s">
        <v>40</v>
      </c>
      <c r="J235" s="1641"/>
      <c r="K235" s="1641"/>
      <c r="L235" s="1641"/>
      <c r="M235" s="1642"/>
      <c r="N235" s="144"/>
    </row>
    <row r="236" spans="1:21" ht="15" customHeight="1" x14ac:dyDescent="0.25">
      <c r="A236" s="553"/>
      <c r="B236" s="636"/>
      <c r="C236" s="646"/>
      <c r="D236" s="646"/>
      <c r="E236" s="646"/>
      <c r="F236" s="646"/>
      <c r="G236" s="646"/>
      <c r="H236" s="132"/>
      <c r="I236" s="1643"/>
      <c r="J236" s="1644"/>
      <c r="K236" s="1644"/>
      <c r="L236" s="1644"/>
      <c r="M236" s="1645"/>
      <c r="O236" s="6"/>
      <c r="P236" s="6"/>
      <c r="Q236" s="6"/>
      <c r="R236" s="6"/>
      <c r="S236" s="6"/>
      <c r="T236" s="6"/>
      <c r="U236" s="6"/>
    </row>
    <row r="237" spans="1:21" s="13" customFormat="1" ht="48.75" customHeight="1" x14ac:dyDescent="0.25">
      <c r="A237" s="611" t="s">
        <v>176</v>
      </c>
      <c r="B237" s="612" t="s">
        <v>787</v>
      </c>
      <c r="C237" s="995" t="s">
        <v>177</v>
      </c>
      <c r="D237" s="1601"/>
      <c r="E237" s="1933" t="s">
        <v>178</v>
      </c>
      <c r="F237" s="1934"/>
      <c r="G237" s="982" t="s">
        <v>831</v>
      </c>
      <c r="H237" s="1637"/>
      <c r="I237" s="1643"/>
      <c r="J237" s="1644"/>
      <c r="K237" s="1644"/>
      <c r="L237" s="1644"/>
      <c r="M237" s="1645"/>
      <c r="N237" s="363"/>
    </row>
    <row r="238" spans="1:21" ht="20.25" customHeight="1" x14ac:dyDescent="0.25">
      <c r="A238" s="624" t="s">
        <v>180</v>
      </c>
      <c r="B238" s="569"/>
      <c r="C238" s="1935"/>
      <c r="D238" s="1935"/>
      <c r="E238" s="1935"/>
      <c r="F238" s="1935"/>
      <c r="G238" s="1638"/>
      <c r="H238" s="1639"/>
      <c r="I238" s="1643"/>
      <c r="J238" s="1644"/>
      <c r="K238" s="1644"/>
      <c r="L238" s="1644"/>
      <c r="M238" s="1645"/>
      <c r="O238" s="6"/>
      <c r="P238" s="6"/>
      <c r="Q238" s="6"/>
      <c r="R238" s="6"/>
      <c r="S238" s="6"/>
      <c r="T238" s="6"/>
      <c r="U238" s="6"/>
    </row>
    <row r="239" spans="1:21" ht="20.25" customHeight="1" x14ac:dyDescent="0.25">
      <c r="A239" s="570" t="s">
        <v>181</v>
      </c>
      <c r="B239" s="585"/>
      <c r="C239" s="1631"/>
      <c r="D239" s="1632"/>
      <c r="E239" s="1414">
        <f>$D$4*C239*650000</f>
        <v>0</v>
      </c>
      <c r="F239" s="1414"/>
      <c r="G239" s="1635"/>
      <c r="H239" s="1636"/>
      <c r="I239" s="1643"/>
      <c r="J239" s="1644"/>
      <c r="K239" s="1644"/>
      <c r="L239" s="1644"/>
      <c r="M239" s="1645"/>
      <c r="O239" s="6"/>
      <c r="P239" s="6"/>
      <c r="Q239" s="6"/>
      <c r="R239" s="6"/>
      <c r="S239" s="6"/>
      <c r="T239" s="6"/>
      <c r="U239" s="6"/>
    </row>
    <row r="240" spans="1:21" ht="20.25" customHeight="1" x14ac:dyDescent="0.25">
      <c r="A240" s="570" t="s">
        <v>182</v>
      </c>
      <c r="B240" s="585"/>
      <c r="C240" s="1631"/>
      <c r="D240" s="1632"/>
      <c r="E240" s="1414">
        <f>$D$4*C240*65000</f>
        <v>0</v>
      </c>
      <c r="F240" s="1414"/>
      <c r="G240" s="1635"/>
      <c r="H240" s="1636"/>
      <c r="I240" s="1643"/>
      <c r="J240" s="1644"/>
      <c r="K240" s="1644"/>
      <c r="L240" s="1644"/>
      <c r="M240" s="1645"/>
      <c r="O240" s="6"/>
      <c r="P240" s="6"/>
      <c r="Q240" s="6"/>
      <c r="R240" s="6"/>
      <c r="S240" s="6"/>
      <c r="T240" s="6"/>
      <c r="U240" s="6"/>
    </row>
    <row r="241" spans="1:21" ht="20.25" customHeight="1" x14ac:dyDescent="0.25">
      <c r="A241" s="761" t="s">
        <v>183</v>
      </c>
      <c r="B241" s="762"/>
      <c r="C241" s="1633"/>
      <c r="D241" s="1634"/>
      <c r="E241" s="1936"/>
      <c r="F241" s="1936"/>
      <c r="G241" s="1938"/>
      <c r="H241" s="1939"/>
      <c r="I241" s="1643"/>
      <c r="J241" s="1644"/>
      <c r="K241" s="1644"/>
      <c r="L241" s="1644"/>
      <c r="M241" s="1645"/>
      <c r="O241" s="6"/>
      <c r="P241" s="6"/>
      <c r="Q241" s="6"/>
      <c r="R241" s="6"/>
      <c r="S241" s="6"/>
      <c r="T241" s="6"/>
      <c r="U241" s="6"/>
    </row>
    <row r="242" spans="1:21" ht="20.25" customHeight="1" x14ac:dyDescent="0.25">
      <c r="A242" s="570" t="s">
        <v>181</v>
      </c>
      <c r="B242" s="585"/>
      <c r="C242" s="1631"/>
      <c r="D242" s="1632"/>
      <c r="E242" s="1414">
        <f>$D$4*C242*650000</f>
        <v>0</v>
      </c>
      <c r="F242" s="1414"/>
      <c r="G242" s="1635"/>
      <c r="H242" s="1636"/>
      <c r="I242" s="1643"/>
      <c r="J242" s="1644"/>
      <c r="K242" s="1644"/>
      <c r="L242" s="1644"/>
      <c r="M242" s="1645"/>
      <c r="O242" s="6"/>
      <c r="P242" s="6"/>
      <c r="Q242" s="6"/>
      <c r="R242" s="6"/>
      <c r="S242" s="6"/>
      <c r="T242" s="6"/>
      <c r="U242" s="6"/>
    </row>
    <row r="243" spans="1:21" ht="18.75" customHeight="1" x14ac:dyDescent="0.25">
      <c r="A243" s="702" t="s">
        <v>182</v>
      </c>
      <c r="B243" s="763"/>
      <c r="C243" s="1631"/>
      <c r="D243" s="1632"/>
      <c r="E243" s="1414">
        <f>$D$4*C243*65000</f>
        <v>0</v>
      </c>
      <c r="F243" s="1414"/>
      <c r="G243" s="1635"/>
      <c r="H243" s="1636"/>
      <c r="I243" s="1643"/>
      <c r="J243" s="1644"/>
      <c r="K243" s="1644"/>
      <c r="L243" s="1644"/>
      <c r="M243" s="1645"/>
      <c r="O243" s="6"/>
      <c r="P243" s="6"/>
      <c r="Q243" s="6"/>
      <c r="R243" s="6"/>
      <c r="S243" s="6"/>
      <c r="T243" s="6"/>
      <c r="U243" s="6"/>
    </row>
    <row r="244" spans="1:21" ht="19.5" thickBot="1" x14ac:dyDescent="0.35">
      <c r="A244" s="1611" t="s">
        <v>2</v>
      </c>
      <c r="B244" s="1612"/>
      <c r="C244" s="1612"/>
      <c r="D244" s="1613"/>
      <c r="E244" s="1937">
        <f>SUM(E239:G240,E242:G243)</f>
        <v>0</v>
      </c>
      <c r="F244" s="1937"/>
      <c r="G244" s="1943">
        <f>SUM(G239:I240,G242:I243)</f>
        <v>0</v>
      </c>
      <c r="H244" s="1944"/>
      <c r="I244" s="1646"/>
      <c r="J244" s="1647"/>
      <c r="K244" s="1647"/>
      <c r="L244" s="1647"/>
      <c r="M244" s="1648"/>
      <c r="O244" s="6"/>
      <c r="P244" s="6"/>
      <c r="Q244" s="6"/>
      <c r="R244" s="6"/>
      <c r="S244" s="6"/>
      <c r="T244" s="6"/>
      <c r="U244" s="6"/>
    </row>
    <row r="245" spans="1:21" ht="15.75" thickBot="1" x14ac:dyDescent="0.3">
      <c r="O245" s="6"/>
      <c r="P245" s="6"/>
      <c r="Q245" s="6"/>
      <c r="R245" s="6"/>
      <c r="S245" s="6"/>
      <c r="T245" s="6"/>
      <c r="U245" s="6"/>
    </row>
    <row r="246" spans="1:21" s="105" customFormat="1" ht="25.5" customHeight="1" x14ac:dyDescent="0.3">
      <c r="A246" s="595" t="s">
        <v>810</v>
      </c>
      <c r="B246" s="596"/>
      <c r="C246" s="596"/>
      <c r="D246" s="596"/>
      <c r="E246" s="596"/>
      <c r="F246" s="596"/>
      <c r="G246" s="596"/>
      <c r="H246" s="596"/>
      <c r="I246" s="1640" t="s">
        <v>40</v>
      </c>
      <c r="J246" s="1641"/>
      <c r="K246" s="1641"/>
      <c r="L246" s="1641"/>
      <c r="M246" s="1642"/>
      <c r="N246" s="106"/>
    </row>
    <row r="247" spans="1:21" ht="15" customHeight="1" x14ac:dyDescent="0.25">
      <c r="B247" s="7"/>
      <c r="C247" s="48"/>
      <c r="D247" s="48"/>
      <c r="E247" s="48"/>
      <c r="F247" s="48"/>
      <c r="G247" s="48"/>
      <c r="H247" s="6"/>
      <c r="I247" s="1940"/>
      <c r="J247" s="1941"/>
      <c r="K247" s="1941"/>
      <c r="L247" s="1941"/>
      <c r="M247" s="1942"/>
      <c r="O247" s="6"/>
      <c r="P247" s="6"/>
      <c r="Q247" s="6"/>
      <c r="R247" s="6"/>
      <c r="S247" s="6"/>
      <c r="T247" s="6"/>
      <c r="U247" s="6"/>
    </row>
    <row r="248" spans="1:21" ht="27.75" customHeight="1" x14ac:dyDescent="0.25">
      <c r="A248" s="516" t="s">
        <v>184</v>
      </c>
      <c r="B248" s="497" t="s">
        <v>787</v>
      </c>
      <c r="C248" s="1407" t="s">
        <v>837</v>
      </c>
      <c r="D248" s="1407"/>
      <c r="E248" s="1422" t="s">
        <v>178</v>
      </c>
      <c r="F248" s="1424"/>
      <c r="G248" s="1306" t="s">
        <v>831</v>
      </c>
      <c r="H248" s="1588"/>
      <c r="I248" s="1946"/>
      <c r="J248" s="1947"/>
      <c r="K248" s="1947"/>
      <c r="L248" s="1947"/>
      <c r="M248" s="1948"/>
      <c r="N248" s="6"/>
      <c r="O248" s="6"/>
      <c r="P248" s="6"/>
      <c r="Q248" s="6"/>
      <c r="R248" s="6"/>
      <c r="S248" s="6"/>
      <c r="T248" s="6"/>
      <c r="U248" s="6"/>
    </row>
    <row r="249" spans="1:21" x14ac:dyDescent="0.25">
      <c r="A249" s="150" t="s">
        <v>186</v>
      </c>
      <c r="B249" s="151"/>
      <c r="C249" s="1453"/>
      <c r="D249" s="1453"/>
      <c r="E249" s="1782"/>
      <c r="F249" s="1783"/>
      <c r="G249" s="1455"/>
      <c r="H249" s="1945"/>
      <c r="I249" s="1946"/>
      <c r="J249" s="1947"/>
      <c r="K249" s="1947"/>
      <c r="L249" s="1947"/>
      <c r="M249" s="1948"/>
      <c r="N249" s="6"/>
      <c r="O249" s="6"/>
      <c r="P249" s="6"/>
      <c r="Q249" s="6"/>
      <c r="R249" s="6"/>
      <c r="S249" s="6"/>
      <c r="T249" s="6"/>
      <c r="U249" s="6"/>
    </row>
    <row r="250" spans="1:21" ht="28.5" x14ac:dyDescent="0.25">
      <c r="A250" s="136" t="s">
        <v>187</v>
      </c>
      <c r="B250" s="585"/>
      <c r="C250" s="1773"/>
      <c r="D250" s="1773"/>
      <c r="E250" s="1444"/>
      <c r="F250" s="1446"/>
      <c r="G250" s="1451"/>
      <c r="H250" s="1781"/>
      <c r="I250" s="1946"/>
      <c r="J250" s="1947"/>
      <c r="K250" s="1947"/>
      <c r="L250" s="1947"/>
      <c r="M250" s="1948"/>
      <c r="N250" s="6"/>
      <c r="O250" s="6"/>
      <c r="P250" s="6"/>
      <c r="Q250" s="6"/>
      <c r="R250" s="6"/>
      <c r="S250" s="6"/>
      <c r="T250" s="6"/>
      <c r="U250" s="6"/>
    </row>
    <row r="251" spans="1:21" x14ac:dyDescent="0.25">
      <c r="A251" s="136" t="s">
        <v>188</v>
      </c>
      <c r="B251" s="585"/>
      <c r="C251" s="1773"/>
      <c r="D251" s="1773"/>
      <c r="E251" s="1444"/>
      <c r="F251" s="1446"/>
      <c r="G251" s="1451"/>
      <c r="H251" s="1781"/>
      <c r="I251" s="1946"/>
      <c r="J251" s="1947"/>
      <c r="K251" s="1947"/>
      <c r="L251" s="1947"/>
      <c r="M251" s="1948"/>
      <c r="N251" s="6"/>
      <c r="O251" s="6"/>
      <c r="P251" s="6"/>
      <c r="Q251" s="6"/>
      <c r="R251" s="6"/>
      <c r="S251" s="6"/>
      <c r="T251" s="6"/>
      <c r="U251" s="6"/>
    </row>
    <row r="252" spans="1:21" ht="28.5" customHeight="1" x14ac:dyDescent="0.25">
      <c r="A252" s="136" t="s">
        <v>189</v>
      </c>
      <c r="B252" s="585"/>
      <c r="C252" s="1773"/>
      <c r="D252" s="1773"/>
      <c r="E252" s="1444"/>
      <c r="F252" s="1446"/>
      <c r="G252" s="1451"/>
      <c r="H252" s="1781"/>
      <c r="I252" s="1946"/>
      <c r="J252" s="1947"/>
      <c r="K252" s="1947"/>
      <c r="L252" s="1947"/>
      <c r="M252" s="1948"/>
      <c r="N252" s="6"/>
      <c r="O252" s="6"/>
      <c r="P252" s="6"/>
      <c r="Q252" s="6"/>
      <c r="R252" s="6"/>
      <c r="S252" s="6"/>
      <c r="T252" s="6"/>
      <c r="U252" s="6"/>
    </row>
    <row r="253" spans="1:21" x14ac:dyDescent="0.25">
      <c r="A253" s="150" t="s">
        <v>190</v>
      </c>
      <c r="B253" s="151"/>
      <c r="C253" s="1453"/>
      <c r="D253" s="1453"/>
      <c r="E253" s="1782"/>
      <c r="F253" s="1783"/>
      <c r="G253" s="1455"/>
      <c r="H253" s="1945"/>
      <c r="I253" s="1946"/>
      <c r="J253" s="1947"/>
      <c r="K253" s="1947"/>
      <c r="L253" s="1947"/>
      <c r="M253" s="1948"/>
      <c r="N253" s="6"/>
      <c r="O253" s="6"/>
      <c r="P253" s="6"/>
      <c r="Q253" s="6"/>
      <c r="R253" s="6"/>
      <c r="S253" s="6"/>
      <c r="T253" s="6"/>
      <c r="U253" s="6"/>
    </row>
    <row r="254" spans="1:21" ht="48.75" x14ac:dyDescent="0.25">
      <c r="A254" s="136" t="s">
        <v>811</v>
      </c>
      <c r="B254" s="585"/>
      <c r="C254" s="1952"/>
      <c r="D254" s="1953"/>
      <c r="E254" s="1784">
        <f>$D$4*C254*60000</f>
        <v>0</v>
      </c>
      <c r="F254" s="1785"/>
      <c r="G254" s="1635"/>
      <c r="H254" s="1774"/>
      <c r="I254" s="1946"/>
      <c r="J254" s="1947"/>
      <c r="K254" s="1947"/>
      <c r="L254" s="1947"/>
      <c r="M254" s="1948"/>
      <c r="N254" s="6"/>
      <c r="O254" s="6"/>
      <c r="P254" s="6"/>
      <c r="Q254" s="6"/>
      <c r="R254" s="6"/>
      <c r="S254" s="6"/>
      <c r="T254" s="6"/>
      <c r="U254" s="6"/>
    </row>
    <row r="255" spans="1:21" ht="66" x14ac:dyDescent="0.25">
      <c r="A255" s="136" t="s">
        <v>191</v>
      </c>
      <c r="B255" s="585"/>
      <c r="C255" s="1773"/>
      <c r="D255" s="1773"/>
      <c r="E255" s="1438">
        <f>$D$4*C255*60000</f>
        <v>0</v>
      </c>
      <c r="F255" s="1440"/>
      <c r="G255" s="1635"/>
      <c r="H255" s="1774"/>
      <c r="I255" s="1946"/>
      <c r="J255" s="1947"/>
      <c r="K255" s="1947"/>
      <c r="L255" s="1947"/>
      <c r="M255" s="1948"/>
      <c r="N255" s="6"/>
      <c r="O255" s="6"/>
      <c r="P255" s="6"/>
      <c r="Q255" s="6"/>
      <c r="R255" s="6"/>
      <c r="S255" s="6"/>
      <c r="T255" s="6"/>
      <c r="U255" s="6"/>
    </row>
    <row r="256" spans="1:21" ht="63" x14ac:dyDescent="0.25">
      <c r="A256" s="136" t="s">
        <v>192</v>
      </c>
      <c r="B256" s="585"/>
      <c r="C256" s="1773"/>
      <c r="D256" s="1773"/>
      <c r="E256" s="1438">
        <f>$D$4*C256*60000</f>
        <v>0</v>
      </c>
      <c r="F256" s="1440"/>
      <c r="G256" s="1635"/>
      <c r="H256" s="1774"/>
      <c r="I256" s="1946"/>
      <c r="J256" s="1947"/>
      <c r="K256" s="1947"/>
      <c r="L256" s="1947"/>
      <c r="M256" s="1948"/>
      <c r="N256" s="6"/>
      <c r="O256" s="6"/>
      <c r="P256" s="6"/>
      <c r="Q256" s="6"/>
      <c r="R256" s="6"/>
      <c r="S256" s="6"/>
      <c r="T256" s="6"/>
      <c r="U256" s="6"/>
    </row>
    <row r="257" spans="1:21" x14ac:dyDescent="0.25">
      <c r="A257" s="136" t="s">
        <v>193</v>
      </c>
      <c r="B257" s="585"/>
      <c r="C257" s="1773"/>
      <c r="D257" s="1773"/>
      <c r="E257" s="1438">
        <f>$D$4*C257*10000</f>
        <v>0</v>
      </c>
      <c r="F257" s="1440"/>
      <c r="G257" s="1635"/>
      <c r="H257" s="1774"/>
      <c r="I257" s="1946"/>
      <c r="J257" s="1947"/>
      <c r="K257" s="1947"/>
      <c r="L257" s="1947"/>
      <c r="M257" s="1948"/>
      <c r="N257" s="6"/>
      <c r="O257" s="6"/>
      <c r="P257" s="6"/>
      <c r="Q257" s="6"/>
      <c r="R257" s="6"/>
      <c r="S257" s="6"/>
      <c r="T257" s="6"/>
      <c r="U257" s="6"/>
    </row>
    <row r="258" spans="1:21" x14ac:dyDescent="0.25">
      <c r="A258" s="136" t="s">
        <v>194</v>
      </c>
      <c r="B258" s="585"/>
      <c r="C258" s="1773"/>
      <c r="D258" s="1773"/>
      <c r="E258" s="1438">
        <f>$D$4*C258*100000</f>
        <v>0</v>
      </c>
      <c r="F258" s="1440"/>
      <c r="G258" s="1635"/>
      <c r="H258" s="1774"/>
      <c r="I258" s="1946"/>
      <c r="J258" s="1947"/>
      <c r="K258" s="1947"/>
      <c r="L258" s="1947"/>
      <c r="M258" s="1948"/>
      <c r="N258" s="6"/>
      <c r="O258" s="6"/>
      <c r="P258" s="6"/>
      <c r="Q258" s="6"/>
      <c r="R258" s="6"/>
      <c r="S258" s="6"/>
      <c r="T258" s="6"/>
      <c r="U258" s="6"/>
    </row>
    <row r="259" spans="1:21" ht="28.5" x14ac:dyDescent="0.25">
      <c r="A259" s="136" t="s">
        <v>195</v>
      </c>
      <c r="B259" s="585"/>
      <c r="C259" s="1773"/>
      <c r="D259" s="1773"/>
      <c r="E259" s="1438">
        <f>(COUNTIF(B5,"Urban")*COUNTIF(H11,"&gt;40")*$D$4*100000)</f>
        <v>0</v>
      </c>
      <c r="F259" s="1440"/>
      <c r="G259" s="1635"/>
      <c r="H259" s="1774"/>
      <c r="I259" s="1946"/>
      <c r="J259" s="1947"/>
      <c r="K259" s="1947"/>
      <c r="L259" s="1947"/>
      <c r="M259" s="1948"/>
      <c r="N259" s="6"/>
      <c r="O259" s="6"/>
      <c r="P259" s="6"/>
      <c r="Q259" s="6"/>
      <c r="R259" s="6"/>
      <c r="S259" s="6"/>
      <c r="T259" s="6"/>
      <c r="U259" s="6"/>
    </row>
    <row r="260" spans="1:21" x14ac:dyDescent="0.25">
      <c r="A260" s="136" t="s">
        <v>101</v>
      </c>
      <c r="B260" s="585"/>
      <c r="C260" s="1773"/>
      <c r="D260" s="1773"/>
      <c r="E260" s="1438">
        <f>$D$4*C260*20000</f>
        <v>0</v>
      </c>
      <c r="F260" s="1440"/>
      <c r="G260" s="1635"/>
      <c r="H260" s="1774"/>
      <c r="I260" s="1946"/>
      <c r="J260" s="1947"/>
      <c r="K260" s="1947"/>
      <c r="L260" s="1947"/>
      <c r="M260" s="1948"/>
      <c r="N260" s="6"/>
      <c r="O260" s="6"/>
      <c r="P260" s="6"/>
      <c r="Q260" s="6"/>
      <c r="R260" s="6"/>
      <c r="S260" s="6"/>
      <c r="T260" s="6"/>
      <c r="U260" s="6"/>
    </row>
    <row r="261" spans="1:21" ht="42.75" x14ac:dyDescent="0.25">
      <c r="A261" s="136" t="s">
        <v>196</v>
      </c>
      <c r="B261" s="585"/>
      <c r="C261" s="1773"/>
      <c r="D261" s="1773"/>
      <c r="E261" s="1438">
        <f>$D$4*C261*85000</f>
        <v>0</v>
      </c>
      <c r="F261" s="1440"/>
      <c r="G261" s="1635"/>
      <c r="H261" s="1774"/>
      <c r="I261" s="1946"/>
      <c r="J261" s="1947"/>
      <c r="K261" s="1947"/>
      <c r="L261" s="1947"/>
      <c r="M261" s="1948"/>
      <c r="N261" s="6"/>
      <c r="O261" s="6"/>
      <c r="P261" s="6"/>
      <c r="Q261" s="6"/>
      <c r="R261" s="6"/>
      <c r="S261" s="6"/>
      <c r="T261" s="6"/>
      <c r="U261" s="6"/>
    </row>
    <row r="262" spans="1:21" x14ac:dyDescent="0.25">
      <c r="A262" s="136" t="s">
        <v>812</v>
      </c>
      <c r="B262" s="585"/>
      <c r="C262" s="1773"/>
      <c r="D262" s="1773"/>
      <c r="E262" s="1444"/>
      <c r="F262" s="1446"/>
      <c r="G262" s="1451"/>
      <c r="H262" s="1781"/>
      <c r="I262" s="1946"/>
      <c r="J262" s="1947"/>
      <c r="K262" s="1947"/>
      <c r="L262" s="1947"/>
      <c r="M262" s="1948"/>
      <c r="N262" s="6"/>
      <c r="O262" s="6"/>
      <c r="P262" s="6"/>
      <c r="Q262" s="6"/>
      <c r="R262" s="6"/>
      <c r="S262" s="6"/>
      <c r="T262" s="6"/>
      <c r="U262" s="6"/>
    </row>
    <row r="263" spans="1:21" x14ac:dyDescent="0.25">
      <c r="A263" s="136" t="s">
        <v>197</v>
      </c>
      <c r="B263" s="585"/>
      <c r="C263" s="1773"/>
      <c r="D263" s="1773"/>
      <c r="E263" s="1438">
        <f>$D$4*C263*15000</f>
        <v>0</v>
      </c>
      <c r="F263" s="1440"/>
      <c r="G263" s="1635"/>
      <c r="H263" s="1774"/>
      <c r="I263" s="1946"/>
      <c r="J263" s="1947"/>
      <c r="K263" s="1947"/>
      <c r="L263" s="1947"/>
      <c r="M263" s="1948"/>
      <c r="N263" s="6"/>
      <c r="O263" s="6"/>
      <c r="P263" s="6"/>
      <c r="Q263" s="6"/>
      <c r="R263" s="6"/>
      <c r="S263" s="6"/>
      <c r="T263" s="6"/>
      <c r="U263" s="6"/>
    </row>
    <row r="264" spans="1:21" ht="42.75" x14ac:dyDescent="0.25">
      <c r="A264" s="136" t="s">
        <v>813</v>
      </c>
      <c r="B264" s="585"/>
      <c r="C264" s="1773"/>
      <c r="D264" s="1773"/>
      <c r="E264" s="1444"/>
      <c r="F264" s="1446"/>
      <c r="G264" s="1451"/>
      <c r="H264" s="1781"/>
      <c r="I264" s="1946"/>
      <c r="J264" s="1947"/>
      <c r="K264" s="1947"/>
      <c r="L264" s="1947"/>
      <c r="M264" s="1948"/>
      <c r="N264" s="6"/>
      <c r="O264" s="6"/>
      <c r="P264" s="6"/>
      <c r="Q264" s="6"/>
      <c r="R264" s="6"/>
      <c r="S264" s="6"/>
      <c r="T264" s="6"/>
      <c r="U264" s="6"/>
    </row>
    <row r="265" spans="1:21" x14ac:dyDescent="0.25">
      <c r="A265" s="571" t="s">
        <v>814</v>
      </c>
      <c r="B265" s="585"/>
      <c r="C265" s="1773"/>
      <c r="D265" s="1773"/>
      <c r="E265" s="1444"/>
      <c r="F265" s="1446"/>
      <c r="G265" s="1635"/>
      <c r="H265" s="1774"/>
      <c r="I265" s="1946"/>
      <c r="J265" s="1947"/>
      <c r="K265" s="1947"/>
      <c r="L265" s="1947"/>
      <c r="M265" s="1948"/>
      <c r="N265" s="6"/>
      <c r="O265" s="6"/>
      <c r="P265" s="6"/>
      <c r="Q265" s="6"/>
      <c r="R265" s="6"/>
      <c r="S265" s="6"/>
      <c r="T265" s="6"/>
      <c r="U265" s="6"/>
    </row>
    <row r="266" spans="1:21" ht="15.75" thickBot="1" x14ac:dyDescent="0.3">
      <c r="A266" s="571" t="s">
        <v>814</v>
      </c>
      <c r="B266" s="586"/>
      <c r="C266" s="1775"/>
      <c r="D266" s="1775"/>
      <c r="E266" s="1778"/>
      <c r="F266" s="1779"/>
      <c r="G266" s="1776"/>
      <c r="H266" s="1777"/>
      <c r="I266" s="1946"/>
      <c r="J266" s="1947"/>
      <c r="K266" s="1947"/>
      <c r="L266" s="1947"/>
      <c r="M266" s="1948"/>
      <c r="N266" s="6"/>
      <c r="O266" s="6"/>
      <c r="P266" s="6"/>
      <c r="Q266" s="6"/>
      <c r="R266" s="6"/>
      <c r="S266" s="6"/>
      <c r="T266" s="6"/>
      <c r="U266" s="6"/>
    </row>
    <row r="267" spans="1:21" ht="15.75" thickBot="1" x14ac:dyDescent="0.3">
      <c r="A267" s="1469" t="s">
        <v>2</v>
      </c>
      <c r="B267" s="1470"/>
      <c r="C267" s="1470"/>
      <c r="D267" s="1471"/>
      <c r="E267" s="1472">
        <f>SUM(E250:F252,E254:F266)</f>
        <v>0</v>
      </c>
      <c r="F267" s="1475"/>
      <c r="G267" s="1472">
        <f>SUM(G250:H252,G254:H266)</f>
        <v>0</v>
      </c>
      <c r="H267" s="1780"/>
      <c r="I267" s="1949"/>
      <c r="J267" s="1950"/>
      <c r="K267" s="1950"/>
      <c r="L267" s="1950"/>
      <c r="M267" s="1951"/>
      <c r="N267" s="6"/>
      <c r="O267" s="6"/>
      <c r="P267" s="6"/>
      <c r="Q267" s="6"/>
      <c r="R267" s="6"/>
      <c r="S267" s="6"/>
      <c r="T267" s="6"/>
      <c r="U267" s="6"/>
    </row>
    <row r="268" spans="1:21" s="9" customFormat="1" ht="15.75" thickBot="1" x14ac:dyDescent="0.3">
      <c r="A268" s="152"/>
      <c r="B268" s="152"/>
      <c r="C268" s="152"/>
      <c r="D268" s="152"/>
      <c r="E268" s="153"/>
      <c r="F268" s="142"/>
      <c r="G268" s="142"/>
      <c r="H268" s="153"/>
      <c r="I268" s="153"/>
      <c r="J268" s="153"/>
      <c r="K268" s="153"/>
      <c r="L268" s="153"/>
      <c r="M268" s="153"/>
    </row>
    <row r="269" spans="1:21" ht="19.5" customHeight="1" x14ac:dyDescent="0.25">
      <c r="A269" s="1000" t="s">
        <v>815</v>
      </c>
      <c r="B269" s="1001"/>
      <c r="C269" s="1001"/>
      <c r="D269" s="1001"/>
      <c r="E269" s="1001"/>
      <c r="F269" s="1001"/>
      <c r="G269" s="1001"/>
      <c r="H269" s="1001"/>
      <c r="I269" s="1625" t="s">
        <v>40</v>
      </c>
      <c r="J269" s="1626"/>
      <c r="K269" s="1626"/>
      <c r="L269" s="1626"/>
      <c r="M269" s="1627"/>
      <c r="O269" s="6"/>
      <c r="P269" s="6"/>
      <c r="Q269" s="6"/>
      <c r="R269" s="6"/>
      <c r="S269" s="6"/>
      <c r="T269" s="6"/>
      <c r="U269" s="6"/>
    </row>
    <row r="270" spans="1:21" ht="15" customHeight="1" x14ac:dyDescent="0.25">
      <c r="A270" s="572"/>
      <c r="B270" s="14"/>
      <c r="C270" s="13"/>
      <c r="D270" s="13"/>
      <c r="E270" s="13"/>
      <c r="F270" s="13"/>
      <c r="G270" s="13"/>
      <c r="H270" s="13"/>
      <c r="I270" s="1628"/>
      <c r="J270" s="1629"/>
      <c r="K270" s="1629"/>
      <c r="L270" s="1629"/>
      <c r="M270" s="1630"/>
      <c r="O270" s="6"/>
      <c r="P270" s="6"/>
      <c r="Q270" s="6"/>
      <c r="R270" s="6"/>
      <c r="S270" s="6"/>
      <c r="T270" s="6"/>
      <c r="U270" s="6"/>
    </row>
    <row r="271" spans="1:21" ht="62.25" customHeight="1" x14ac:dyDescent="0.25">
      <c r="A271" s="1464" t="s">
        <v>43</v>
      </c>
      <c r="B271" s="1157"/>
      <c r="C271" s="1157" t="s">
        <v>198</v>
      </c>
      <c r="D271" s="1157"/>
      <c r="E271" s="496" t="s">
        <v>199</v>
      </c>
      <c r="F271" s="382" t="s">
        <v>842</v>
      </c>
      <c r="G271" s="1157" t="s">
        <v>838</v>
      </c>
      <c r="H271" s="1770"/>
      <c r="I271" s="1761"/>
      <c r="J271" s="1762"/>
      <c r="K271" s="1762"/>
      <c r="L271" s="1762"/>
      <c r="M271" s="1763"/>
      <c r="N271" s="6"/>
      <c r="O271" s="6"/>
      <c r="P271" s="6"/>
      <c r="Q271" s="6"/>
      <c r="R271" s="6"/>
      <c r="S271" s="6"/>
      <c r="T271" s="6"/>
      <c r="U271" s="6"/>
    </row>
    <row r="272" spans="1:21" ht="33" customHeight="1" x14ac:dyDescent="0.25">
      <c r="A272" s="1033" t="s">
        <v>201</v>
      </c>
      <c r="B272" s="1034"/>
      <c r="C272" s="1771"/>
      <c r="D272" s="1771"/>
      <c r="E272" s="765"/>
      <c r="F272" s="766"/>
      <c r="G272" s="1771"/>
      <c r="H272" s="1772"/>
      <c r="I272" s="1764"/>
      <c r="J272" s="1765"/>
      <c r="K272" s="1765"/>
      <c r="L272" s="1765"/>
      <c r="M272" s="1766"/>
      <c r="N272" s="6"/>
      <c r="O272" s="6"/>
      <c r="P272" s="6"/>
      <c r="Q272" s="6"/>
      <c r="R272" s="6"/>
      <c r="S272" s="6"/>
      <c r="T272" s="6"/>
      <c r="U272" s="6"/>
    </row>
    <row r="273" spans="1:21" ht="59.25" customHeight="1" x14ac:dyDescent="0.25">
      <c r="A273" s="1033" t="s">
        <v>202</v>
      </c>
      <c r="B273" s="1034"/>
      <c r="C273" s="1771"/>
      <c r="D273" s="1771"/>
      <c r="E273" s="765"/>
      <c r="F273" s="766"/>
      <c r="G273" s="1771"/>
      <c r="H273" s="1772"/>
      <c r="I273" s="1764"/>
      <c r="J273" s="1765"/>
      <c r="K273" s="1765"/>
      <c r="L273" s="1765"/>
      <c r="M273" s="1766"/>
      <c r="N273" s="6"/>
      <c r="O273" s="6"/>
      <c r="P273" s="6"/>
      <c r="Q273" s="6"/>
      <c r="R273" s="6"/>
      <c r="S273" s="6"/>
      <c r="T273" s="6"/>
      <c r="U273" s="6"/>
    </row>
    <row r="274" spans="1:21" ht="59.25" customHeight="1" x14ac:dyDescent="0.25">
      <c r="A274" s="1033" t="s">
        <v>903</v>
      </c>
      <c r="B274" s="1034"/>
      <c r="C274" s="1771"/>
      <c r="D274" s="1771"/>
      <c r="E274" s="765"/>
      <c r="F274" s="766"/>
      <c r="G274" s="1771"/>
      <c r="H274" s="1772"/>
      <c r="I274" s="1764"/>
      <c r="J274" s="1765"/>
      <c r="K274" s="1765"/>
      <c r="L274" s="1765"/>
      <c r="M274" s="1766"/>
      <c r="N274" s="6"/>
      <c r="O274" s="6"/>
      <c r="P274" s="6"/>
      <c r="Q274" s="6"/>
      <c r="R274" s="6"/>
      <c r="S274" s="6"/>
      <c r="T274" s="6"/>
      <c r="U274" s="6"/>
    </row>
    <row r="275" spans="1:21" ht="33" customHeight="1" x14ac:dyDescent="0.25">
      <c r="A275" s="1033" t="s">
        <v>204</v>
      </c>
      <c r="B275" s="1034"/>
      <c r="C275" s="1771"/>
      <c r="D275" s="1771"/>
      <c r="E275" s="765"/>
      <c r="F275" s="766"/>
      <c r="G275" s="1771"/>
      <c r="H275" s="1772"/>
      <c r="I275" s="1764"/>
      <c r="J275" s="1765"/>
      <c r="K275" s="1765"/>
      <c r="L275" s="1765"/>
      <c r="M275" s="1766"/>
      <c r="N275" s="6"/>
      <c r="O275" s="6"/>
      <c r="P275" s="6"/>
      <c r="Q275" s="6"/>
      <c r="R275" s="6"/>
      <c r="S275" s="6"/>
      <c r="T275" s="6"/>
      <c r="U275" s="6"/>
    </row>
    <row r="276" spans="1:21" ht="33" customHeight="1" x14ac:dyDescent="0.25">
      <c r="A276" s="1033" t="s">
        <v>928</v>
      </c>
      <c r="B276" s="1034"/>
      <c r="C276" s="1771"/>
      <c r="D276" s="1771"/>
      <c r="E276" s="891"/>
      <c r="F276" s="892"/>
      <c r="G276" s="1771"/>
      <c r="H276" s="1772"/>
      <c r="I276" s="1764"/>
      <c r="J276" s="1765"/>
      <c r="K276" s="1765"/>
      <c r="L276" s="1765"/>
      <c r="M276" s="1766"/>
      <c r="N276" s="6"/>
      <c r="O276" s="6"/>
      <c r="P276" s="6"/>
      <c r="Q276" s="6"/>
      <c r="R276" s="6"/>
      <c r="S276" s="6"/>
      <c r="T276" s="6"/>
      <c r="U276" s="6"/>
    </row>
    <row r="277" spans="1:21" ht="33" customHeight="1" thickBot="1" x14ac:dyDescent="0.3">
      <c r="A277" s="1620" t="s">
        <v>205</v>
      </c>
      <c r="B277" s="1621"/>
      <c r="C277" s="1622"/>
      <c r="D277" s="1622"/>
      <c r="E277" s="767"/>
      <c r="F277" s="768"/>
      <c r="G277" s="1622"/>
      <c r="H277" s="1623"/>
      <c r="I277" s="1764"/>
      <c r="J277" s="1765"/>
      <c r="K277" s="1765"/>
      <c r="L277" s="1765"/>
      <c r="M277" s="1766"/>
      <c r="N277" s="6"/>
      <c r="O277" s="6"/>
      <c r="P277" s="6"/>
      <c r="Q277" s="6"/>
      <c r="R277" s="6"/>
      <c r="S277" s="6"/>
      <c r="T277" s="6"/>
      <c r="U277" s="6"/>
    </row>
    <row r="278" spans="1:21" ht="33" customHeight="1" thickBot="1" x14ac:dyDescent="0.3">
      <c r="A278" s="1469" t="s">
        <v>2</v>
      </c>
      <c r="B278" s="1471"/>
      <c r="C278" s="1484">
        <f>SUM(C272:D277)</f>
        <v>0</v>
      </c>
      <c r="D278" s="1484"/>
      <c r="E278" s="633">
        <f>SUM(E272:E277)</f>
        <v>0</v>
      </c>
      <c r="F278" s="764">
        <f>SUM(F272:F277)</f>
        <v>0</v>
      </c>
      <c r="G278" s="1484">
        <f>SUM(G272:H277)</f>
        <v>0</v>
      </c>
      <c r="H278" s="1624"/>
      <c r="I278" s="1767"/>
      <c r="J278" s="1768"/>
      <c r="K278" s="1768"/>
      <c r="L278" s="1768"/>
      <c r="M278" s="1769"/>
      <c r="N278" s="6"/>
      <c r="O278" s="6"/>
      <c r="P278" s="6"/>
      <c r="Q278" s="6"/>
      <c r="R278" s="6"/>
      <c r="S278" s="6"/>
      <c r="T278" s="6"/>
      <c r="U278" s="6"/>
    </row>
    <row r="279" spans="1:21" ht="15.75" thickBot="1" x14ac:dyDescent="0.3">
      <c r="C279" s="154"/>
      <c r="D279" s="154"/>
      <c r="E279" s="154"/>
      <c r="F279" s="154"/>
      <c r="G279" s="154"/>
      <c r="H279" s="154"/>
      <c r="I279" s="154"/>
      <c r="O279" s="6"/>
      <c r="P279" s="6"/>
      <c r="Q279" s="6"/>
      <c r="R279" s="6"/>
      <c r="S279" s="6"/>
      <c r="T279" s="6"/>
      <c r="U279" s="6"/>
    </row>
    <row r="280" spans="1:21" ht="18" x14ac:dyDescent="0.25">
      <c r="A280" s="1000" t="s">
        <v>816</v>
      </c>
      <c r="B280" s="1001"/>
      <c r="C280" s="1001"/>
      <c r="D280" s="1001"/>
      <c r="E280" s="1001"/>
      <c r="F280" s="1001"/>
      <c r="G280" s="1001"/>
      <c r="H280" s="1001"/>
      <c r="I280" s="1626" t="s">
        <v>40</v>
      </c>
      <c r="J280" s="1626"/>
      <c r="K280" s="1626"/>
      <c r="L280" s="1626"/>
      <c r="M280" s="1626"/>
      <c r="O280" s="6"/>
      <c r="P280" s="6"/>
      <c r="Q280" s="6"/>
      <c r="R280" s="6"/>
      <c r="S280" s="6"/>
      <c r="T280" s="6"/>
      <c r="U280" s="6"/>
    </row>
    <row r="281" spans="1:21" ht="15" customHeight="1" x14ac:dyDescent="0.25">
      <c r="A281" s="572"/>
      <c r="B281" s="14"/>
      <c r="C281" s="13"/>
      <c r="D281" s="13"/>
      <c r="E281" s="13"/>
      <c r="F281" s="13"/>
      <c r="G281" s="13"/>
      <c r="H281" s="13"/>
      <c r="I281" s="1629"/>
      <c r="J281" s="1629"/>
      <c r="K281" s="1629"/>
      <c r="L281" s="1629"/>
      <c r="M281" s="1629"/>
      <c r="O281" s="6"/>
      <c r="P281" s="6"/>
      <c r="Q281" s="6"/>
      <c r="R281" s="6"/>
      <c r="S281" s="6"/>
      <c r="T281" s="6"/>
      <c r="U281" s="6"/>
    </row>
    <row r="282" spans="1:21" ht="57" customHeight="1" x14ac:dyDescent="0.25">
      <c r="A282" s="1480" t="s">
        <v>43</v>
      </c>
      <c r="B282" s="1481"/>
      <c r="C282" s="769" t="s">
        <v>198</v>
      </c>
      <c r="D282" s="619" t="s">
        <v>199</v>
      </c>
      <c r="E282" s="1157" t="s">
        <v>842</v>
      </c>
      <c r="F282" s="1157"/>
      <c r="G282" s="1157" t="s">
        <v>838</v>
      </c>
      <c r="H282" s="1157"/>
      <c r="I282" s="1967"/>
      <c r="J282" s="1967"/>
      <c r="K282" s="1967"/>
      <c r="L282" s="1967"/>
      <c r="M282" s="1968"/>
      <c r="O282" s="6"/>
      <c r="P282" s="6"/>
      <c r="Q282" s="6"/>
      <c r="R282" s="6"/>
      <c r="S282" s="6"/>
      <c r="T282" s="6"/>
      <c r="U282" s="6"/>
    </row>
    <row r="283" spans="1:21" ht="30" customHeight="1" x14ac:dyDescent="0.25">
      <c r="A283" s="1480" t="s">
        <v>206</v>
      </c>
      <c r="B283" s="1481"/>
      <c r="C283" s="1493">
        <f>$D$4*80000+(H9/10)*230000</f>
        <v>0</v>
      </c>
      <c r="D283" s="573"/>
      <c r="E283" s="1752"/>
      <c r="F283" s="1752"/>
      <c r="G283" s="1752"/>
      <c r="H283" s="1752"/>
      <c r="I283" s="1967"/>
      <c r="J283" s="1967"/>
      <c r="K283" s="1967"/>
      <c r="L283" s="1967"/>
      <c r="M283" s="1968"/>
      <c r="O283" s="6"/>
      <c r="P283" s="6"/>
      <c r="Q283" s="6"/>
      <c r="R283" s="6"/>
      <c r="S283" s="6"/>
      <c r="T283" s="6"/>
      <c r="U283" s="6"/>
    </row>
    <row r="284" spans="1:21" ht="30" customHeight="1" x14ac:dyDescent="0.25">
      <c r="A284" s="1480" t="s">
        <v>207</v>
      </c>
      <c r="B284" s="1481"/>
      <c r="C284" s="1495"/>
      <c r="D284" s="573"/>
      <c r="E284" s="1752"/>
      <c r="F284" s="1752"/>
      <c r="G284" s="1752"/>
      <c r="H284" s="1752"/>
      <c r="I284" s="1967"/>
      <c r="J284" s="1967"/>
      <c r="K284" s="1967"/>
      <c r="L284" s="1967"/>
      <c r="M284" s="1968"/>
      <c r="O284" s="6"/>
      <c r="P284" s="6"/>
      <c r="Q284" s="6"/>
      <c r="R284" s="6"/>
      <c r="S284" s="6"/>
      <c r="T284" s="6"/>
      <c r="U284" s="6"/>
    </row>
    <row r="285" spans="1:21" ht="30" customHeight="1" x14ac:dyDescent="0.25">
      <c r="A285" s="1480" t="s">
        <v>208</v>
      </c>
      <c r="B285" s="1481"/>
      <c r="C285" s="1495"/>
      <c r="D285" s="573"/>
      <c r="E285" s="1752"/>
      <c r="F285" s="1752"/>
      <c r="G285" s="1752"/>
      <c r="H285" s="1752"/>
      <c r="I285" s="1967"/>
      <c r="J285" s="1967"/>
      <c r="K285" s="1967"/>
      <c r="L285" s="1967"/>
      <c r="M285" s="1968"/>
      <c r="O285" s="6"/>
      <c r="P285" s="6"/>
      <c r="Q285" s="6"/>
      <c r="R285" s="6"/>
      <c r="S285" s="6"/>
      <c r="T285" s="6"/>
      <c r="U285" s="6"/>
    </row>
    <row r="286" spans="1:21" ht="30" customHeight="1" x14ac:dyDescent="0.25">
      <c r="A286" s="1480" t="s">
        <v>209</v>
      </c>
      <c r="B286" s="1481"/>
      <c r="C286" s="1495"/>
      <c r="D286" s="573"/>
      <c r="E286" s="1752"/>
      <c r="F286" s="1752"/>
      <c r="G286" s="1752"/>
      <c r="H286" s="1752"/>
      <c r="I286" s="1967"/>
      <c r="J286" s="1967"/>
      <c r="K286" s="1967"/>
      <c r="L286" s="1967"/>
      <c r="M286" s="1968"/>
      <c r="O286" s="6"/>
      <c r="P286" s="6"/>
      <c r="Q286" s="6"/>
      <c r="R286" s="6"/>
      <c r="S286" s="6"/>
      <c r="T286" s="6"/>
      <c r="U286" s="6"/>
    </row>
    <row r="287" spans="1:21" ht="30" customHeight="1" x14ac:dyDescent="0.25">
      <c r="A287" s="1480" t="s">
        <v>210</v>
      </c>
      <c r="B287" s="1481"/>
      <c r="C287" s="1495"/>
      <c r="D287" s="573"/>
      <c r="E287" s="1752"/>
      <c r="F287" s="1752"/>
      <c r="G287" s="1752"/>
      <c r="H287" s="1752"/>
      <c r="I287" s="1967"/>
      <c r="J287" s="1967"/>
      <c r="K287" s="1967"/>
      <c r="L287" s="1967"/>
      <c r="M287" s="1968"/>
      <c r="O287" s="6"/>
      <c r="P287" s="6"/>
      <c r="Q287" s="6"/>
      <c r="R287" s="6"/>
      <c r="S287" s="6"/>
      <c r="T287" s="6"/>
      <c r="U287" s="6"/>
    </row>
    <row r="288" spans="1:21" ht="30" customHeight="1" x14ac:dyDescent="0.25">
      <c r="A288" s="1969" t="s">
        <v>205</v>
      </c>
      <c r="B288" s="1970"/>
      <c r="C288" s="1966"/>
      <c r="D288" s="573"/>
      <c r="E288" s="1752"/>
      <c r="F288" s="1752"/>
      <c r="G288" s="1752"/>
      <c r="H288" s="1752"/>
      <c r="I288" s="1967"/>
      <c r="J288" s="1967"/>
      <c r="K288" s="1967"/>
      <c r="L288" s="1967"/>
      <c r="M288" s="1968"/>
      <c r="O288" s="6"/>
      <c r="P288" s="6"/>
      <c r="Q288" s="6"/>
      <c r="R288" s="6"/>
      <c r="S288" s="6"/>
      <c r="T288" s="6"/>
      <c r="U288" s="6"/>
    </row>
    <row r="289" spans="1:21" ht="15.75" thickBot="1" x14ac:dyDescent="0.3">
      <c r="A289" s="1758" t="s">
        <v>163</v>
      </c>
      <c r="B289" s="1759"/>
      <c r="C289" s="770">
        <f>C283</f>
        <v>0</v>
      </c>
      <c r="D289" s="574">
        <f>SUM(D283:D288)</f>
        <v>0</v>
      </c>
      <c r="E289" s="1760">
        <f>SUM(E283:F288)</f>
        <v>0</v>
      </c>
      <c r="F289" s="1760"/>
      <c r="G289" s="1760">
        <f>SUM(G283:H288)</f>
        <v>0</v>
      </c>
      <c r="H289" s="1760"/>
      <c r="I289" s="1967"/>
      <c r="J289" s="1967"/>
      <c r="K289" s="1967"/>
      <c r="L289" s="1967"/>
      <c r="M289" s="1968"/>
      <c r="O289" s="6"/>
      <c r="P289" s="6"/>
      <c r="Q289" s="6"/>
      <c r="R289" s="6"/>
      <c r="S289" s="6"/>
      <c r="T289" s="6"/>
      <c r="U289" s="6"/>
    </row>
    <row r="290" spans="1:21" x14ac:dyDescent="0.25">
      <c r="C290" s="154"/>
      <c r="D290" s="154"/>
      <c r="E290" s="154"/>
      <c r="F290" s="154"/>
      <c r="G290" s="154"/>
      <c r="H290" s="154"/>
      <c r="I290" s="154"/>
      <c r="O290" s="6"/>
      <c r="P290" s="6"/>
      <c r="Q290" s="6"/>
      <c r="R290" s="6"/>
      <c r="S290" s="6"/>
      <c r="T290" s="6"/>
      <c r="U290" s="6"/>
    </row>
    <row r="291" spans="1:21" s="9" customFormat="1" x14ac:dyDescent="0.25">
      <c r="A291" s="70"/>
      <c r="B291" s="70"/>
      <c r="C291"/>
      <c r="D291"/>
      <c r="E291"/>
      <c r="F291"/>
      <c r="G291"/>
      <c r="H291"/>
      <c r="I291"/>
      <c r="J291"/>
      <c r="K291"/>
      <c r="L291"/>
      <c r="M291"/>
      <c r="N291" s="104"/>
    </row>
    <row r="292" spans="1:21" ht="27.75" customHeight="1" x14ac:dyDescent="0.25">
      <c r="A292" s="771" t="s">
        <v>817</v>
      </c>
      <c r="B292" s="591"/>
      <c r="C292" s="591"/>
      <c r="D292" s="591"/>
      <c r="E292" s="591"/>
      <c r="F292" s="591"/>
      <c r="G292" s="591"/>
      <c r="H292" s="591"/>
      <c r="I292" s="591"/>
      <c r="J292" s="591"/>
      <c r="K292" s="591"/>
      <c r="L292" s="591"/>
      <c r="M292" s="591"/>
      <c r="N292" s="6"/>
      <c r="O292" s="6"/>
      <c r="P292" s="6"/>
      <c r="Q292" s="6"/>
      <c r="R292" s="6"/>
      <c r="S292" s="6"/>
      <c r="T292" s="6"/>
      <c r="U292" s="6"/>
    </row>
    <row r="293" spans="1:21" ht="18.75" thickBot="1" x14ac:dyDescent="0.3">
      <c r="A293" s="575"/>
      <c r="B293" s="575"/>
      <c r="C293" s="156"/>
      <c r="D293" s="156"/>
      <c r="E293" s="156"/>
      <c r="F293" s="156"/>
      <c r="G293" s="156"/>
      <c r="H293" s="156"/>
      <c r="I293" s="156"/>
      <c r="J293" s="156"/>
      <c r="K293" s="1973"/>
      <c r="L293" s="1973"/>
      <c r="M293" s="1973"/>
      <c r="N293" s="6"/>
      <c r="O293" s="6"/>
      <c r="P293" s="6"/>
      <c r="Q293" s="6"/>
      <c r="R293" s="6"/>
      <c r="S293" s="6"/>
      <c r="T293" s="6"/>
      <c r="U293" s="6"/>
    </row>
    <row r="294" spans="1:21" ht="37.5" customHeight="1" x14ac:dyDescent="0.25">
      <c r="A294" s="1753" t="s">
        <v>0</v>
      </c>
      <c r="B294" s="1754" t="s">
        <v>1</v>
      </c>
      <c r="C294" s="1754"/>
      <c r="D294" s="1755" t="s">
        <v>282</v>
      </c>
      <c r="E294" s="1755"/>
      <c r="F294" s="1755" t="s">
        <v>825</v>
      </c>
      <c r="G294" s="1755"/>
      <c r="H294" s="1755"/>
      <c r="I294" s="1754" t="s">
        <v>950</v>
      </c>
      <c r="J294" s="1756"/>
      <c r="K294" s="1974" t="s">
        <v>868</v>
      </c>
      <c r="L294" s="1975"/>
      <c r="M294" s="1976"/>
      <c r="N294" s="6"/>
      <c r="O294" s="6"/>
      <c r="P294" s="6"/>
      <c r="Q294" s="6"/>
      <c r="R294" s="6"/>
      <c r="S294" s="6"/>
      <c r="T294" s="6"/>
      <c r="U294" s="6"/>
    </row>
    <row r="295" spans="1:21" ht="75" x14ac:dyDescent="0.25">
      <c r="A295" s="1497"/>
      <c r="B295" s="1498"/>
      <c r="C295" s="1498"/>
      <c r="D295" s="634" t="s">
        <v>42</v>
      </c>
      <c r="E295" s="634" t="s">
        <v>215</v>
      </c>
      <c r="F295" s="634" t="s">
        <v>42</v>
      </c>
      <c r="G295" s="614" t="s">
        <v>216</v>
      </c>
      <c r="H295" s="634" t="s">
        <v>949</v>
      </c>
      <c r="I295" s="1498"/>
      <c r="J295" s="1757"/>
      <c r="K295" s="777"/>
      <c r="L295" s="635"/>
      <c r="M295" s="772"/>
      <c r="N295" s="6"/>
      <c r="O295" s="6"/>
      <c r="P295" s="6"/>
      <c r="Q295" s="6"/>
      <c r="R295" s="6"/>
      <c r="S295" s="6"/>
      <c r="T295" s="6"/>
      <c r="U295" s="6"/>
    </row>
    <row r="296" spans="1:21" ht="15.75" x14ac:dyDescent="0.25">
      <c r="A296" s="180">
        <v>1</v>
      </c>
      <c r="B296" s="1506" t="s">
        <v>3</v>
      </c>
      <c r="C296" s="1506"/>
      <c r="D296" s="778"/>
      <c r="E296" s="778"/>
      <c r="F296" s="778"/>
      <c r="G296" s="778"/>
      <c r="H296" s="778"/>
      <c r="I296" s="1508">
        <f>H49</f>
        <v>0</v>
      </c>
      <c r="J296" s="1617"/>
      <c r="K296" s="784"/>
      <c r="L296" s="785"/>
      <c r="M296" s="786"/>
      <c r="N296" s="6"/>
      <c r="O296" s="6"/>
      <c r="P296" s="6"/>
      <c r="Q296" s="6"/>
      <c r="R296" s="6"/>
      <c r="S296" s="6"/>
      <c r="T296" s="6"/>
      <c r="U296" s="6"/>
    </row>
    <row r="297" spans="1:21" ht="15.75" x14ac:dyDescent="0.25">
      <c r="A297" s="180">
        <v>2</v>
      </c>
      <c r="B297" s="1506" t="s">
        <v>4</v>
      </c>
      <c r="C297" s="1506"/>
      <c r="D297" s="778"/>
      <c r="E297" s="778"/>
      <c r="F297" s="778"/>
      <c r="G297" s="778"/>
      <c r="H297" s="778"/>
      <c r="I297" s="1508">
        <f>H57</f>
        <v>0</v>
      </c>
      <c r="J297" s="1617"/>
      <c r="K297" s="784"/>
      <c r="L297" s="785"/>
      <c r="M297" s="786"/>
      <c r="N297" s="6"/>
      <c r="O297" s="6"/>
      <c r="P297" s="6"/>
      <c r="Q297" s="6"/>
      <c r="R297" s="6"/>
      <c r="S297" s="6"/>
      <c r="T297" s="6"/>
      <c r="U297" s="6"/>
    </row>
    <row r="298" spans="1:21" ht="15.75" x14ac:dyDescent="0.25">
      <c r="A298" s="180">
        <v>3</v>
      </c>
      <c r="B298" s="1506" t="s">
        <v>5</v>
      </c>
      <c r="C298" s="1506"/>
      <c r="D298" s="778"/>
      <c r="E298" s="778"/>
      <c r="F298" s="778"/>
      <c r="G298" s="778"/>
      <c r="H298" s="778"/>
      <c r="I298" s="1507">
        <f>H68</f>
        <v>0</v>
      </c>
      <c r="J298" s="1617"/>
      <c r="K298" s="784"/>
      <c r="L298" s="785"/>
      <c r="M298" s="786"/>
      <c r="N298" s="6"/>
      <c r="O298" s="6"/>
      <c r="P298" s="6"/>
      <c r="Q298" s="6"/>
      <c r="R298" s="6"/>
      <c r="S298" s="6"/>
      <c r="T298" s="6"/>
      <c r="U298" s="6"/>
    </row>
    <row r="299" spans="1:21" ht="15.75" x14ac:dyDescent="0.25">
      <c r="A299" s="180">
        <v>4</v>
      </c>
      <c r="B299" s="1506" t="s">
        <v>6</v>
      </c>
      <c r="C299" s="1506"/>
      <c r="D299" s="778"/>
      <c r="E299" s="778"/>
      <c r="F299" s="778"/>
      <c r="G299" s="778"/>
      <c r="H299" s="778"/>
      <c r="I299" s="1507">
        <f>H81</f>
        <v>0</v>
      </c>
      <c r="J299" s="1617"/>
      <c r="K299" s="784"/>
      <c r="L299" s="785"/>
      <c r="M299" s="786"/>
      <c r="N299" s="6"/>
      <c r="O299" s="6"/>
      <c r="P299" s="6"/>
      <c r="Q299" s="6"/>
      <c r="R299" s="6"/>
      <c r="S299" s="6"/>
      <c r="T299" s="6"/>
      <c r="U299" s="6"/>
    </row>
    <row r="300" spans="1:21" ht="15.75" x14ac:dyDescent="0.25">
      <c r="A300" s="180">
        <v>5</v>
      </c>
      <c r="B300" s="1506" t="s">
        <v>7</v>
      </c>
      <c r="C300" s="1506"/>
      <c r="D300" s="778"/>
      <c r="E300" s="778"/>
      <c r="F300" s="778"/>
      <c r="G300" s="778"/>
      <c r="H300" s="778"/>
      <c r="I300" s="1508">
        <f>I117</f>
        <v>0</v>
      </c>
      <c r="J300" s="1617"/>
      <c r="K300" s="784"/>
      <c r="L300" s="785"/>
      <c r="M300" s="786"/>
      <c r="N300" s="6"/>
      <c r="O300" s="6"/>
      <c r="P300" s="6"/>
      <c r="Q300" s="6"/>
      <c r="R300" s="6"/>
      <c r="S300" s="6"/>
      <c r="T300" s="6"/>
      <c r="U300" s="6"/>
    </row>
    <row r="301" spans="1:21" ht="15.75" x14ac:dyDescent="0.25">
      <c r="A301" s="180">
        <v>6</v>
      </c>
      <c r="B301" s="1506" t="s">
        <v>8</v>
      </c>
      <c r="C301" s="1506"/>
      <c r="D301" s="778"/>
      <c r="E301" s="778"/>
      <c r="F301" s="778"/>
      <c r="G301" s="778"/>
      <c r="H301" s="778"/>
      <c r="I301" s="1507">
        <f>G122</f>
        <v>0</v>
      </c>
      <c r="J301" s="1617"/>
      <c r="K301" s="784"/>
      <c r="L301" s="785"/>
      <c r="M301" s="786"/>
      <c r="N301" s="6"/>
      <c r="O301" s="6"/>
      <c r="P301" s="6"/>
      <c r="Q301" s="6"/>
      <c r="R301" s="6"/>
      <c r="S301" s="6"/>
      <c r="T301" s="6"/>
      <c r="U301" s="6"/>
    </row>
    <row r="302" spans="1:21" ht="39" customHeight="1" x14ac:dyDescent="0.25">
      <c r="A302" s="180">
        <v>7</v>
      </c>
      <c r="B302" s="1506" t="s">
        <v>9</v>
      </c>
      <c r="C302" s="1506"/>
      <c r="D302" s="778"/>
      <c r="E302" s="778"/>
      <c r="F302" s="778"/>
      <c r="G302" s="778"/>
      <c r="H302" s="778"/>
      <c r="I302" s="1507">
        <f>G135</f>
        <v>0</v>
      </c>
      <c r="J302" s="1617"/>
      <c r="K302" s="784"/>
      <c r="L302" s="785"/>
      <c r="M302" s="786"/>
      <c r="N302" s="6"/>
      <c r="O302" s="6"/>
      <c r="P302" s="6"/>
      <c r="Q302" s="6"/>
      <c r="R302" s="6"/>
      <c r="S302" s="6"/>
      <c r="T302" s="6"/>
      <c r="U302" s="6"/>
    </row>
    <row r="303" spans="1:21" ht="15.75" x14ac:dyDescent="0.25">
      <c r="A303" s="180">
        <v>8</v>
      </c>
      <c r="B303" s="1506" t="s">
        <v>10</v>
      </c>
      <c r="C303" s="1506"/>
      <c r="D303" s="778"/>
      <c r="E303" s="778"/>
      <c r="F303" s="778"/>
      <c r="G303" s="778"/>
      <c r="H303" s="778"/>
      <c r="I303" s="1507">
        <f>G144</f>
        <v>0</v>
      </c>
      <c r="J303" s="1617"/>
      <c r="K303" s="784"/>
      <c r="L303" s="785"/>
      <c r="M303" s="786"/>
      <c r="N303" s="6"/>
      <c r="O303" s="6"/>
      <c r="P303" s="6"/>
      <c r="Q303" s="6"/>
      <c r="R303" s="6"/>
      <c r="S303" s="6"/>
      <c r="T303" s="6"/>
      <c r="U303" s="6"/>
    </row>
    <row r="304" spans="1:21" ht="15.75" x14ac:dyDescent="0.25">
      <c r="A304" s="180">
        <v>9</v>
      </c>
      <c r="B304" s="1506" t="s">
        <v>11</v>
      </c>
      <c r="C304" s="1506"/>
      <c r="D304" s="778"/>
      <c r="E304" s="778"/>
      <c r="F304" s="778"/>
      <c r="G304" s="778"/>
      <c r="H304" s="778"/>
      <c r="I304" s="1507">
        <f>G152</f>
        <v>0</v>
      </c>
      <c r="J304" s="1617"/>
      <c r="K304" s="784"/>
      <c r="L304" s="785"/>
      <c r="M304" s="786"/>
      <c r="N304" s="6"/>
      <c r="O304" s="6"/>
      <c r="P304" s="6"/>
      <c r="Q304" s="6"/>
      <c r="R304" s="6"/>
      <c r="S304" s="6"/>
      <c r="T304" s="6"/>
      <c r="U304" s="6"/>
    </row>
    <row r="305" spans="1:21" ht="15.75" x14ac:dyDescent="0.25">
      <c r="A305" s="180">
        <v>10</v>
      </c>
      <c r="B305" s="1506" t="s">
        <v>12</v>
      </c>
      <c r="C305" s="1506"/>
      <c r="D305" s="778"/>
      <c r="E305" s="778"/>
      <c r="F305" s="778"/>
      <c r="G305" s="778"/>
      <c r="H305" s="778"/>
      <c r="I305" s="1507">
        <f>G195</f>
        <v>0</v>
      </c>
      <c r="J305" s="1617"/>
      <c r="K305" s="784"/>
      <c r="L305" s="785"/>
      <c r="M305" s="786"/>
      <c r="N305" s="6"/>
      <c r="O305" s="6"/>
      <c r="P305" s="6"/>
      <c r="Q305" s="6"/>
      <c r="R305" s="6"/>
      <c r="S305" s="6"/>
      <c r="T305" s="6"/>
      <c r="U305" s="6"/>
    </row>
    <row r="306" spans="1:21" ht="15.75" x14ac:dyDescent="0.25">
      <c r="A306" s="180">
        <v>11</v>
      </c>
      <c r="B306" s="1506" t="s">
        <v>13</v>
      </c>
      <c r="C306" s="1506"/>
      <c r="D306" s="778"/>
      <c r="E306" s="778"/>
      <c r="F306" s="778"/>
      <c r="G306" s="778"/>
      <c r="H306" s="778"/>
      <c r="I306" s="1507">
        <f>G208</f>
        <v>0</v>
      </c>
      <c r="J306" s="1617"/>
      <c r="K306" s="784"/>
      <c r="L306" s="785"/>
      <c r="M306" s="786"/>
      <c r="N306" s="6"/>
      <c r="O306" s="6"/>
      <c r="P306" s="6"/>
      <c r="Q306" s="6"/>
      <c r="R306" s="6"/>
      <c r="S306" s="6"/>
      <c r="T306" s="6"/>
      <c r="U306" s="6"/>
    </row>
    <row r="307" spans="1:21" ht="15.75" x14ac:dyDescent="0.25">
      <c r="A307" s="180">
        <v>12</v>
      </c>
      <c r="B307" s="1506" t="s">
        <v>14</v>
      </c>
      <c r="C307" s="1506"/>
      <c r="D307" s="778"/>
      <c r="E307" s="778"/>
      <c r="F307" s="778"/>
      <c r="G307" s="778"/>
      <c r="H307" s="778"/>
      <c r="I307" s="1507">
        <f>G213</f>
        <v>0</v>
      </c>
      <c r="J307" s="1617"/>
      <c r="K307" s="784"/>
      <c r="L307" s="785"/>
      <c r="M307" s="786"/>
      <c r="N307" s="6"/>
      <c r="O307" s="6"/>
      <c r="P307" s="6"/>
      <c r="Q307" s="6"/>
      <c r="R307" s="6"/>
      <c r="S307" s="6"/>
      <c r="T307" s="6"/>
      <c r="U307" s="6"/>
    </row>
    <row r="308" spans="1:21" ht="15.75" x14ac:dyDescent="0.25">
      <c r="A308" s="180">
        <v>13</v>
      </c>
      <c r="B308" s="1506" t="s">
        <v>15</v>
      </c>
      <c r="C308" s="1506"/>
      <c r="D308" s="778"/>
      <c r="E308" s="778"/>
      <c r="F308" s="778"/>
      <c r="G308" s="778"/>
      <c r="H308" s="778"/>
      <c r="I308" s="1507">
        <f>G218</f>
        <v>0</v>
      </c>
      <c r="J308" s="1617"/>
      <c r="K308" s="784"/>
      <c r="L308" s="785"/>
      <c r="M308" s="786"/>
      <c r="N308" s="6"/>
      <c r="O308" s="6"/>
      <c r="P308" s="6"/>
      <c r="Q308" s="6"/>
      <c r="R308" s="6"/>
      <c r="S308" s="6"/>
      <c r="T308" s="6"/>
      <c r="U308" s="6"/>
    </row>
    <row r="309" spans="1:21" ht="15.75" x14ac:dyDescent="0.25">
      <c r="A309" s="180">
        <v>14</v>
      </c>
      <c r="B309" s="1506" t="s">
        <v>16</v>
      </c>
      <c r="C309" s="1506"/>
      <c r="D309" s="778"/>
      <c r="E309" s="778"/>
      <c r="F309" s="778"/>
      <c r="G309" s="778"/>
      <c r="H309" s="778"/>
      <c r="I309" s="1508">
        <f>H224</f>
        <v>0</v>
      </c>
      <c r="J309" s="1617"/>
      <c r="K309" s="784"/>
      <c r="L309" s="785"/>
      <c r="M309" s="786"/>
      <c r="N309" s="6"/>
      <c r="O309" s="6"/>
      <c r="P309" s="6"/>
      <c r="Q309" s="6"/>
      <c r="R309" s="6"/>
      <c r="S309" s="6"/>
      <c r="T309" s="6"/>
      <c r="U309" s="6"/>
    </row>
    <row r="310" spans="1:21" ht="15.75" x14ac:dyDescent="0.25">
      <c r="A310" s="180">
        <v>15</v>
      </c>
      <c r="B310" s="1506" t="s">
        <v>275</v>
      </c>
      <c r="C310" s="1506"/>
      <c r="D310" s="778"/>
      <c r="E310" s="778"/>
      <c r="F310" s="778"/>
      <c r="G310" s="778"/>
      <c r="H310" s="778"/>
      <c r="I310" s="1507">
        <f>G233</f>
        <v>0</v>
      </c>
      <c r="J310" s="1617"/>
      <c r="K310" s="784"/>
      <c r="L310" s="785"/>
      <c r="M310" s="786"/>
      <c r="N310" s="6"/>
      <c r="O310" s="6"/>
      <c r="P310" s="6"/>
      <c r="Q310" s="6"/>
      <c r="R310" s="6"/>
      <c r="S310" s="6"/>
      <c r="T310" s="6"/>
      <c r="U310" s="6"/>
    </row>
    <row r="311" spans="1:21" ht="15.75" x14ac:dyDescent="0.25">
      <c r="A311" s="180">
        <v>16</v>
      </c>
      <c r="B311" s="1506" t="s">
        <v>17</v>
      </c>
      <c r="C311" s="1506"/>
      <c r="D311" s="778"/>
      <c r="E311" s="778"/>
      <c r="F311" s="778"/>
      <c r="G311" s="778"/>
      <c r="H311" s="778"/>
      <c r="I311" s="1507">
        <f>G244</f>
        <v>0</v>
      </c>
      <c r="J311" s="1617"/>
      <c r="K311" s="784"/>
      <c r="L311" s="785"/>
      <c r="M311" s="786"/>
      <c r="N311" s="6"/>
      <c r="O311" s="6"/>
      <c r="P311" s="6"/>
      <c r="Q311" s="6"/>
      <c r="R311" s="6"/>
      <c r="S311" s="6"/>
      <c r="T311" s="6"/>
      <c r="U311" s="6"/>
    </row>
    <row r="312" spans="1:21" ht="15.75" x14ac:dyDescent="0.25">
      <c r="A312" s="180">
        <v>17</v>
      </c>
      <c r="B312" s="1506" t="s">
        <v>18</v>
      </c>
      <c r="C312" s="1506"/>
      <c r="D312" s="778"/>
      <c r="E312" s="778"/>
      <c r="F312" s="778"/>
      <c r="G312" s="778"/>
      <c r="H312" s="778"/>
      <c r="I312" s="1507">
        <f>G267</f>
        <v>0</v>
      </c>
      <c r="J312" s="1617"/>
      <c r="K312" s="784"/>
      <c r="L312" s="785"/>
      <c r="M312" s="786"/>
      <c r="N312" s="6"/>
      <c r="O312" s="6"/>
      <c r="P312" s="6"/>
      <c r="Q312" s="6"/>
      <c r="R312" s="6"/>
      <c r="S312" s="6"/>
      <c r="T312" s="6"/>
      <c r="U312" s="6"/>
    </row>
    <row r="313" spans="1:21" ht="15.75" x14ac:dyDescent="0.25">
      <c r="A313" s="180">
        <v>18</v>
      </c>
      <c r="B313" s="1506" t="s">
        <v>19</v>
      </c>
      <c r="C313" s="1506"/>
      <c r="D313" s="778"/>
      <c r="E313" s="778"/>
      <c r="F313" s="778"/>
      <c r="G313" s="778"/>
      <c r="H313" s="778"/>
      <c r="I313" s="1507">
        <f>G278</f>
        <v>0</v>
      </c>
      <c r="J313" s="1617"/>
      <c r="K313" s="784"/>
      <c r="L313" s="785"/>
      <c r="M313" s="786"/>
      <c r="N313" s="6"/>
      <c r="O313" s="6"/>
      <c r="P313" s="6"/>
      <c r="Q313" s="6"/>
      <c r="R313" s="6"/>
      <c r="S313" s="6"/>
      <c r="T313" s="6"/>
      <c r="U313" s="6"/>
    </row>
    <row r="314" spans="1:21" ht="16.5" thickBot="1" x14ac:dyDescent="0.3">
      <c r="A314" s="775">
        <v>19</v>
      </c>
      <c r="B314" s="1526" t="s">
        <v>20</v>
      </c>
      <c r="C314" s="1526"/>
      <c r="D314" s="779"/>
      <c r="E314" s="779"/>
      <c r="F314" s="779"/>
      <c r="G314" s="779"/>
      <c r="H314" s="779"/>
      <c r="I314" s="1527">
        <f>G289</f>
        <v>0</v>
      </c>
      <c r="J314" s="1750"/>
      <c r="K314" s="787"/>
      <c r="L314" s="788"/>
      <c r="M314" s="789"/>
      <c r="N314" s="6"/>
      <c r="O314" s="6"/>
      <c r="P314" s="6"/>
      <c r="Q314" s="6"/>
      <c r="R314" s="6"/>
      <c r="S314" s="6"/>
      <c r="T314" s="6"/>
      <c r="U314" s="6"/>
    </row>
    <row r="315" spans="1:21" ht="16.5" thickBot="1" x14ac:dyDescent="0.3">
      <c r="A315" s="576"/>
      <c r="B315" s="1515" t="s">
        <v>2</v>
      </c>
      <c r="C315" s="1515"/>
      <c r="D315" s="780">
        <f>SUM(D296:D314)</f>
        <v>0</v>
      </c>
      <c r="E315" s="780">
        <f t="shared" ref="E315:H315" si="10">SUM(E296:E314)</f>
        <v>0</v>
      </c>
      <c r="F315" s="780">
        <f t="shared" si="10"/>
        <v>0</v>
      </c>
      <c r="G315" s="780">
        <f t="shared" si="10"/>
        <v>0</v>
      </c>
      <c r="H315" s="781">
        <f t="shared" si="10"/>
        <v>0</v>
      </c>
      <c r="I315" s="1751">
        <f>SUM(I296:J314)</f>
        <v>0</v>
      </c>
      <c r="J315" s="1616"/>
      <c r="K315" s="790"/>
      <c r="L315" s="791"/>
      <c r="M315" s="792"/>
      <c r="N315" s="6"/>
      <c r="O315" s="6"/>
      <c r="P315" s="6"/>
      <c r="Q315" s="6"/>
      <c r="R315" s="6"/>
      <c r="S315" s="6"/>
      <c r="T315" s="6"/>
      <c r="U315" s="6"/>
    </row>
    <row r="316" spans="1:21" ht="16.5" thickBot="1" x14ac:dyDescent="0.3">
      <c r="A316" s="577">
        <v>20</v>
      </c>
      <c r="B316" s="1520" t="s">
        <v>21</v>
      </c>
      <c r="C316" s="1520"/>
      <c r="D316" s="782"/>
      <c r="E316" s="782"/>
      <c r="F316" s="783">
        <f>H333</f>
        <v>0</v>
      </c>
      <c r="G316" s="782"/>
      <c r="H316" s="782"/>
      <c r="I316" s="1521">
        <f>I333</f>
        <v>0</v>
      </c>
      <c r="J316" s="1614"/>
      <c r="K316" s="793"/>
      <c r="L316" s="794"/>
      <c r="M316" s="795"/>
      <c r="N316" s="6"/>
      <c r="O316" s="6"/>
      <c r="P316" s="6"/>
      <c r="Q316" s="6"/>
      <c r="R316" s="6"/>
      <c r="S316" s="6"/>
      <c r="T316" s="6"/>
      <c r="U316" s="6"/>
    </row>
    <row r="317" spans="1:21" ht="16.5" thickBot="1" x14ac:dyDescent="0.3">
      <c r="A317" s="576"/>
      <c r="B317" s="1515" t="s">
        <v>22</v>
      </c>
      <c r="C317" s="1515"/>
      <c r="D317" s="773">
        <f>D315+D316</f>
        <v>0</v>
      </c>
      <c r="E317" s="773">
        <f t="shared" ref="E317:H317" si="11">E315+E316</f>
        <v>0</v>
      </c>
      <c r="F317" s="773">
        <f t="shared" si="11"/>
        <v>0</v>
      </c>
      <c r="G317" s="773">
        <f t="shared" si="11"/>
        <v>0</v>
      </c>
      <c r="H317" s="776">
        <f t="shared" si="11"/>
        <v>0</v>
      </c>
      <c r="I317" s="1615">
        <f>I315+I316</f>
        <v>0</v>
      </c>
      <c r="J317" s="1616"/>
      <c r="K317" s="790"/>
      <c r="L317" s="791"/>
      <c r="M317" s="792"/>
      <c r="N317" s="6"/>
      <c r="O317" s="6"/>
      <c r="P317" s="6"/>
      <c r="Q317" s="6"/>
      <c r="R317" s="6"/>
      <c r="S317" s="6"/>
      <c r="T317" s="6"/>
      <c r="U317" s="6"/>
    </row>
    <row r="318" spans="1:21" x14ac:dyDescent="0.25">
      <c r="N318" s="6"/>
      <c r="O318" s="6"/>
      <c r="P318" s="6"/>
      <c r="Q318" s="6"/>
      <c r="R318" s="6"/>
      <c r="S318" s="6"/>
      <c r="T318" s="6"/>
      <c r="U318" s="6"/>
    </row>
    <row r="319" spans="1:21" ht="15.75" thickBot="1" x14ac:dyDescent="0.3">
      <c r="N319" s="6"/>
      <c r="O319" s="6"/>
      <c r="P319" s="6"/>
      <c r="Q319" s="6"/>
      <c r="R319" s="6"/>
      <c r="S319" s="6"/>
      <c r="T319" s="6"/>
      <c r="U319" s="6"/>
    </row>
    <row r="320" spans="1:21" ht="33.75" customHeight="1" x14ac:dyDescent="0.25">
      <c r="A320" s="1955" t="s">
        <v>818</v>
      </c>
      <c r="B320" s="1956"/>
      <c r="C320" s="1956"/>
      <c r="D320" s="1956"/>
      <c r="E320" s="1956"/>
      <c r="F320" s="1956"/>
      <c r="G320" s="1956"/>
      <c r="H320" s="1956"/>
      <c r="I320" s="1957" t="s">
        <v>40</v>
      </c>
      <c r="J320" s="1958"/>
      <c r="K320" s="1958"/>
      <c r="L320" s="1958"/>
      <c r="M320" s="1959"/>
      <c r="N320" s="6"/>
      <c r="O320" s="6"/>
      <c r="P320" s="6"/>
      <c r="Q320" s="6"/>
      <c r="R320" s="6"/>
      <c r="S320" s="6"/>
      <c r="T320" s="6"/>
      <c r="U320" s="6"/>
    </row>
    <row r="321" spans="1:21" ht="15" customHeight="1" x14ac:dyDescent="0.25">
      <c r="A321" s="513"/>
      <c r="B321" s="514"/>
      <c r="C321" s="10"/>
      <c r="D321" s="10"/>
      <c r="E321" s="10"/>
      <c r="F321" s="10"/>
      <c r="G321" s="10"/>
      <c r="H321" s="10"/>
      <c r="I321" s="1960" t="s">
        <v>869</v>
      </c>
      <c r="J321" s="1961"/>
      <c r="K321" s="1961"/>
      <c r="L321" s="1961"/>
      <c r="M321" s="1962"/>
      <c r="N321" s="6"/>
      <c r="O321" s="6"/>
      <c r="P321" s="6"/>
      <c r="Q321" s="6"/>
      <c r="R321" s="6"/>
      <c r="S321" s="6"/>
      <c r="T321" s="6"/>
      <c r="U321" s="6"/>
    </row>
    <row r="322" spans="1:21" ht="47.25" x14ac:dyDescent="0.25">
      <c r="A322" s="163" t="s">
        <v>219</v>
      </c>
      <c r="B322" s="1539" t="s">
        <v>220</v>
      </c>
      <c r="C322" s="1539"/>
      <c r="D322" s="501" t="s">
        <v>221</v>
      </c>
      <c r="E322" s="501" t="s">
        <v>222</v>
      </c>
      <c r="F322" s="1539" t="s">
        <v>843</v>
      </c>
      <c r="G322" s="1539"/>
      <c r="H322" s="606" t="s">
        <v>870</v>
      </c>
      <c r="I322" s="1963"/>
      <c r="J322" s="1964"/>
      <c r="K322" s="1964"/>
      <c r="L322" s="1964"/>
      <c r="M322" s="1965"/>
      <c r="N322" s="6"/>
      <c r="O322" s="6"/>
      <c r="P322" s="6"/>
      <c r="Q322" s="6"/>
      <c r="R322" s="6"/>
      <c r="S322" s="6"/>
      <c r="T322" s="6"/>
      <c r="U322" s="6"/>
    </row>
    <row r="323" spans="1:21" ht="57.75" customHeight="1" x14ac:dyDescent="0.25">
      <c r="A323" s="612">
        <v>1</v>
      </c>
      <c r="B323" s="1727"/>
      <c r="C323" s="1728"/>
      <c r="D323" s="605"/>
      <c r="E323" s="605"/>
      <c r="F323" s="1729"/>
      <c r="G323" s="1730"/>
      <c r="H323" s="774"/>
      <c r="I323" s="1927"/>
      <c r="J323" s="1928"/>
      <c r="K323" s="1928"/>
      <c r="L323" s="1928"/>
      <c r="M323" s="1929"/>
      <c r="N323" s="6"/>
      <c r="O323" s="6"/>
      <c r="P323" s="6"/>
      <c r="Q323" s="6"/>
      <c r="R323" s="6"/>
      <c r="S323" s="6"/>
      <c r="T323" s="6"/>
      <c r="U323" s="6"/>
    </row>
    <row r="324" spans="1:21" ht="57.75" customHeight="1" x14ac:dyDescent="0.25">
      <c r="A324" s="612">
        <v>2</v>
      </c>
      <c r="B324" s="1727"/>
      <c r="C324" s="1728"/>
      <c r="D324" s="605"/>
      <c r="E324" s="605"/>
      <c r="F324" s="1729"/>
      <c r="G324" s="1730"/>
      <c r="H324" s="774"/>
      <c r="I324" s="1927"/>
      <c r="J324" s="1928"/>
      <c r="K324" s="1928"/>
      <c r="L324" s="1928"/>
      <c r="M324" s="1929"/>
      <c r="N324" s="6"/>
      <c r="O324" s="6"/>
      <c r="P324" s="6"/>
      <c r="Q324" s="6"/>
      <c r="R324" s="6"/>
      <c r="S324" s="6"/>
      <c r="T324" s="6"/>
      <c r="U324" s="6"/>
    </row>
    <row r="325" spans="1:21" ht="57.75" customHeight="1" x14ac:dyDescent="0.25">
      <c r="A325" s="612">
        <v>3</v>
      </c>
      <c r="B325" s="1727"/>
      <c r="C325" s="1728"/>
      <c r="D325" s="605"/>
      <c r="E325" s="605"/>
      <c r="F325" s="1729"/>
      <c r="G325" s="1730"/>
      <c r="H325" s="774"/>
      <c r="I325" s="1927"/>
      <c r="J325" s="1928"/>
      <c r="K325" s="1928"/>
      <c r="L325" s="1928"/>
      <c r="M325" s="1929"/>
      <c r="N325" s="6"/>
      <c r="O325" s="6"/>
      <c r="P325" s="6"/>
      <c r="Q325" s="6"/>
      <c r="R325" s="6"/>
      <c r="S325" s="6"/>
      <c r="T325" s="6"/>
      <c r="U325" s="6"/>
    </row>
    <row r="326" spans="1:21" ht="57.75" customHeight="1" x14ac:dyDescent="0.25">
      <c r="A326" s="612">
        <v>4</v>
      </c>
      <c r="B326" s="1727"/>
      <c r="C326" s="1728"/>
      <c r="D326" s="605"/>
      <c r="E326" s="605"/>
      <c r="F326" s="1729"/>
      <c r="G326" s="1730"/>
      <c r="H326" s="774"/>
      <c r="I326" s="1927"/>
      <c r="J326" s="1928"/>
      <c r="K326" s="1928"/>
      <c r="L326" s="1928"/>
      <c r="M326" s="1929"/>
      <c r="N326" s="6"/>
      <c r="O326" s="6"/>
      <c r="P326" s="6"/>
      <c r="Q326" s="6"/>
      <c r="R326" s="6"/>
      <c r="S326" s="6"/>
      <c r="T326" s="6"/>
      <c r="U326" s="6"/>
    </row>
    <row r="327" spans="1:21" ht="57.75" customHeight="1" x14ac:dyDescent="0.25">
      <c r="A327" s="612">
        <v>5</v>
      </c>
      <c r="B327" s="1727"/>
      <c r="C327" s="1728"/>
      <c r="D327" s="605"/>
      <c r="E327" s="605"/>
      <c r="F327" s="1729"/>
      <c r="G327" s="1730"/>
      <c r="H327" s="774"/>
      <c r="I327" s="1927"/>
      <c r="J327" s="1928"/>
      <c r="K327" s="1928"/>
      <c r="L327" s="1928"/>
      <c r="M327" s="1929"/>
      <c r="N327" s="6"/>
      <c r="O327" s="6"/>
      <c r="P327" s="6"/>
      <c r="Q327" s="6"/>
      <c r="R327" s="6"/>
      <c r="S327" s="6"/>
      <c r="T327" s="6"/>
      <c r="U327" s="6"/>
    </row>
    <row r="328" spans="1:21" ht="57.75" customHeight="1" x14ac:dyDescent="0.25">
      <c r="A328" s="612">
        <v>6</v>
      </c>
      <c r="B328" s="1727"/>
      <c r="C328" s="1728"/>
      <c r="D328" s="605"/>
      <c r="E328" s="605"/>
      <c r="F328" s="1729"/>
      <c r="G328" s="1730"/>
      <c r="H328" s="774"/>
      <c r="I328" s="1927"/>
      <c r="J328" s="1928"/>
      <c r="K328" s="1928"/>
      <c r="L328" s="1928"/>
      <c r="M328" s="1929"/>
      <c r="N328" s="6"/>
      <c r="O328" s="6"/>
      <c r="P328" s="6"/>
      <c r="Q328" s="6"/>
      <c r="R328" s="6"/>
      <c r="S328" s="6"/>
      <c r="T328" s="6"/>
      <c r="U328" s="6"/>
    </row>
    <row r="329" spans="1:21" ht="57.75" customHeight="1" x14ac:dyDescent="0.25">
      <c r="A329" s="612">
        <v>7</v>
      </c>
      <c r="B329" s="1727"/>
      <c r="C329" s="1728"/>
      <c r="D329" s="605"/>
      <c r="E329" s="605"/>
      <c r="F329" s="1729"/>
      <c r="G329" s="1730"/>
      <c r="H329" s="774"/>
      <c r="I329" s="1927"/>
      <c r="J329" s="1928"/>
      <c r="K329" s="1928"/>
      <c r="L329" s="1928"/>
      <c r="M329" s="1929"/>
      <c r="N329" s="6"/>
      <c r="O329" s="6"/>
      <c r="P329" s="6"/>
      <c r="Q329" s="6"/>
      <c r="R329" s="6"/>
      <c r="S329" s="6"/>
      <c r="T329" s="6"/>
      <c r="U329" s="6"/>
    </row>
    <row r="330" spans="1:21" ht="57.75" customHeight="1" x14ac:dyDescent="0.25">
      <c r="A330" s="612">
        <v>8</v>
      </c>
      <c r="B330" s="1727"/>
      <c r="C330" s="1728"/>
      <c r="D330" s="605"/>
      <c r="E330" s="605"/>
      <c r="F330" s="1729"/>
      <c r="G330" s="1730"/>
      <c r="H330" s="774"/>
      <c r="I330" s="1927"/>
      <c r="J330" s="1928"/>
      <c r="K330" s="1928"/>
      <c r="L330" s="1928"/>
      <c r="M330" s="1929"/>
      <c r="N330" s="6"/>
      <c r="O330" s="6"/>
      <c r="P330" s="6"/>
      <c r="Q330" s="6"/>
      <c r="R330" s="6"/>
      <c r="S330" s="6"/>
      <c r="T330" s="6"/>
      <c r="U330" s="6"/>
    </row>
    <row r="331" spans="1:21" ht="57.75" customHeight="1" x14ac:dyDescent="0.25">
      <c r="A331" s="612">
        <v>9</v>
      </c>
      <c r="B331" s="1727"/>
      <c r="C331" s="1728"/>
      <c r="D331" s="605"/>
      <c r="E331" s="605"/>
      <c r="F331" s="1729"/>
      <c r="G331" s="1730"/>
      <c r="H331" s="774"/>
      <c r="I331" s="1927"/>
      <c r="J331" s="1928"/>
      <c r="K331" s="1928"/>
      <c r="L331" s="1928"/>
      <c r="M331" s="1929"/>
      <c r="N331" s="6"/>
      <c r="O331" s="6"/>
      <c r="P331" s="6"/>
      <c r="Q331" s="6"/>
      <c r="R331" s="6"/>
      <c r="S331" s="6"/>
      <c r="T331" s="6"/>
      <c r="U331" s="6"/>
    </row>
    <row r="332" spans="1:21" ht="57.75" customHeight="1" thickBot="1" x14ac:dyDescent="0.3">
      <c r="A332" s="822">
        <v>10</v>
      </c>
      <c r="B332" s="1223"/>
      <c r="C332" s="1216"/>
      <c r="D332" s="823"/>
      <c r="E332" s="823"/>
      <c r="F332" s="1731"/>
      <c r="G332" s="1732"/>
      <c r="H332" s="824"/>
      <c r="I332" s="1923"/>
      <c r="J332" s="1224"/>
      <c r="K332" s="1224"/>
      <c r="L332" s="1224"/>
      <c r="M332" s="1225"/>
      <c r="N332" s="6"/>
      <c r="O332" s="6"/>
      <c r="P332" s="6"/>
      <c r="Q332" s="6"/>
      <c r="R332" s="6"/>
      <c r="S332" s="6"/>
      <c r="T332" s="6"/>
      <c r="U332" s="6"/>
    </row>
    <row r="333" spans="1:21" ht="57.75" customHeight="1" thickBot="1" x14ac:dyDescent="0.3">
      <c r="A333" s="1735" t="s">
        <v>2</v>
      </c>
      <c r="B333" s="1736"/>
      <c r="C333" s="1736"/>
      <c r="D333" s="1736"/>
      <c r="E333" s="1737"/>
      <c r="F333" s="1733">
        <f>SUM(F323:G332)</f>
        <v>0</v>
      </c>
      <c r="G333" s="1734"/>
      <c r="H333" s="825">
        <f>SUM(H323:H332)</f>
        <v>0</v>
      </c>
      <c r="I333" s="1924"/>
      <c r="J333" s="1925"/>
      <c r="K333" s="1925"/>
      <c r="L333" s="1925"/>
      <c r="M333" s="1926"/>
      <c r="N333" s="6"/>
      <c r="O333" s="6"/>
      <c r="P333" s="6"/>
      <c r="Q333" s="6"/>
      <c r="R333" s="6"/>
      <c r="S333" s="6"/>
      <c r="T333" s="6"/>
      <c r="U333" s="6"/>
    </row>
    <row r="334" spans="1:21" x14ac:dyDescent="0.25">
      <c r="O334" s="6"/>
      <c r="P334" s="6"/>
      <c r="Q334" s="6"/>
      <c r="R334" s="6"/>
      <c r="S334" s="6"/>
      <c r="T334" s="6"/>
      <c r="U334" s="6"/>
    </row>
    <row r="335" spans="1:21" x14ac:dyDescent="0.25">
      <c r="O335" s="6"/>
      <c r="P335" s="6"/>
      <c r="Q335" s="6"/>
      <c r="R335" s="6"/>
      <c r="S335" s="6"/>
      <c r="T335" s="6"/>
      <c r="U335" s="6"/>
    </row>
    <row r="336" spans="1:21" x14ac:dyDescent="0.25">
      <c r="O336" s="6"/>
      <c r="P336" s="6"/>
      <c r="Q336" s="6"/>
      <c r="R336" s="6"/>
      <c r="S336" s="6"/>
      <c r="T336" s="6"/>
      <c r="U336" s="6"/>
    </row>
    <row r="337" spans="15:21" x14ac:dyDescent="0.25">
      <c r="O337" s="6"/>
      <c r="P337" s="6"/>
      <c r="Q337" s="6"/>
      <c r="R337" s="6"/>
      <c r="S337" s="6"/>
      <c r="T337" s="6"/>
      <c r="U337" s="6"/>
    </row>
    <row r="338" spans="15:21" x14ac:dyDescent="0.25">
      <c r="O338" s="6"/>
      <c r="P338" s="6"/>
      <c r="Q338" s="6"/>
      <c r="R338" s="6"/>
      <c r="S338" s="6"/>
      <c r="T338" s="6"/>
      <c r="U338" s="6"/>
    </row>
    <row r="339" spans="15:21" x14ac:dyDescent="0.25">
      <c r="O339" s="6"/>
      <c r="P339" s="6"/>
      <c r="Q339" s="6"/>
      <c r="R339" s="6"/>
      <c r="S339" s="6"/>
      <c r="T339" s="6"/>
      <c r="U339" s="6"/>
    </row>
    <row r="340" spans="15:21" x14ac:dyDescent="0.25">
      <c r="O340" s="6"/>
      <c r="P340" s="6"/>
      <c r="Q340" s="6"/>
      <c r="R340" s="6"/>
      <c r="S340" s="6"/>
      <c r="T340" s="6"/>
      <c r="U340" s="6"/>
    </row>
    <row r="341" spans="15:21" x14ac:dyDescent="0.25">
      <c r="O341" s="6"/>
      <c r="P341" s="6"/>
      <c r="Q341" s="6"/>
      <c r="R341" s="6"/>
      <c r="S341" s="6"/>
      <c r="T341" s="6"/>
      <c r="U341" s="6"/>
    </row>
    <row r="342" spans="15:21" x14ac:dyDescent="0.25">
      <c r="O342" s="6"/>
      <c r="P342" s="6"/>
      <c r="Q342" s="6"/>
      <c r="R342" s="6"/>
      <c r="S342" s="6"/>
      <c r="T342" s="6"/>
      <c r="U342" s="6"/>
    </row>
    <row r="343" spans="15:21" x14ac:dyDescent="0.25">
      <c r="O343" s="6"/>
      <c r="P343" s="6"/>
      <c r="Q343" s="6"/>
      <c r="R343" s="6"/>
      <c r="S343" s="6"/>
      <c r="T343" s="6"/>
      <c r="U343" s="6"/>
    </row>
    <row r="344" spans="15:21" x14ac:dyDescent="0.25">
      <c r="O344" s="6"/>
      <c r="P344" s="6"/>
      <c r="Q344" s="6"/>
      <c r="R344" s="6"/>
      <c r="S344" s="6"/>
      <c r="T344" s="6"/>
      <c r="U344" s="6"/>
    </row>
    <row r="345" spans="15:21" x14ac:dyDescent="0.25">
      <c r="O345" s="6"/>
      <c r="P345" s="6"/>
      <c r="Q345" s="6"/>
      <c r="R345" s="6"/>
      <c r="S345" s="6"/>
      <c r="T345" s="6"/>
      <c r="U345" s="6"/>
    </row>
    <row r="346" spans="15:21" x14ac:dyDescent="0.25">
      <c r="O346" s="6"/>
      <c r="P346" s="6"/>
      <c r="Q346" s="6"/>
      <c r="R346" s="6"/>
      <c r="S346" s="6"/>
      <c r="T346" s="6"/>
      <c r="U346" s="6"/>
    </row>
    <row r="347" spans="15:21" x14ac:dyDescent="0.25">
      <c r="O347" s="6"/>
      <c r="P347" s="6"/>
      <c r="Q347" s="6"/>
      <c r="R347" s="6"/>
      <c r="S347" s="6"/>
      <c r="T347" s="6"/>
      <c r="U347" s="6"/>
    </row>
    <row r="348" spans="15:21" x14ac:dyDescent="0.25">
      <c r="O348" s="6"/>
      <c r="P348" s="6"/>
      <c r="Q348" s="6"/>
      <c r="R348" s="6"/>
      <c r="S348" s="6"/>
      <c r="T348" s="6"/>
      <c r="U348" s="6"/>
    </row>
    <row r="349" spans="15:21" x14ac:dyDescent="0.25">
      <c r="O349" s="6"/>
      <c r="P349" s="6"/>
      <c r="Q349" s="6"/>
      <c r="R349" s="6"/>
      <c r="S349" s="6"/>
      <c r="T349" s="6"/>
      <c r="U349" s="6"/>
    </row>
    <row r="350" spans="15:21" x14ac:dyDescent="0.25">
      <c r="O350" s="6"/>
      <c r="P350" s="6"/>
      <c r="Q350" s="6"/>
      <c r="R350" s="6"/>
      <c r="S350" s="6"/>
      <c r="T350" s="6"/>
      <c r="U350" s="6"/>
    </row>
    <row r="351" spans="15:21" x14ac:dyDescent="0.25">
      <c r="O351" s="6"/>
      <c r="P351" s="6"/>
      <c r="Q351" s="6"/>
      <c r="R351" s="6"/>
      <c r="S351" s="6"/>
      <c r="T351" s="6"/>
      <c r="U351" s="6"/>
    </row>
    <row r="352" spans="15:21" x14ac:dyDescent="0.25">
      <c r="O352" s="6"/>
      <c r="P352" s="6"/>
      <c r="Q352" s="6"/>
      <c r="R352" s="6"/>
      <c r="S352" s="6"/>
      <c r="T352" s="6"/>
      <c r="U352" s="6"/>
    </row>
    <row r="353" spans="15:21" x14ac:dyDescent="0.25">
      <c r="O353" s="6"/>
      <c r="P353" s="6"/>
      <c r="Q353" s="6"/>
      <c r="R353" s="6"/>
      <c r="S353" s="6"/>
      <c r="T353" s="6"/>
      <c r="U353" s="6"/>
    </row>
    <row r="354" spans="15:21" x14ac:dyDescent="0.25">
      <c r="O354" s="6"/>
      <c r="P354" s="6"/>
      <c r="Q354" s="6"/>
      <c r="R354" s="6"/>
      <c r="S354" s="6"/>
      <c r="T354" s="6"/>
      <c r="U354" s="6"/>
    </row>
    <row r="355" spans="15:21" x14ac:dyDescent="0.25">
      <c r="O355" s="6"/>
      <c r="P355" s="6"/>
      <c r="Q355" s="6"/>
      <c r="R355" s="6"/>
      <c r="S355" s="6"/>
      <c r="T355" s="6"/>
      <c r="U355" s="6"/>
    </row>
    <row r="356" spans="15:21" x14ac:dyDescent="0.25">
      <c r="O356" s="6"/>
      <c r="P356" s="6"/>
      <c r="Q356" s="6"/>
      <c r="R356" s="6"/>
      <c r="S356" s="6"/>
      <c r="T356" s="6"/>
      <c r="U356" s="6"/>
    </row>
    <row r="357" spans="15:21" x14ac:dyDescent="0.25">
      <c r="O357" s="6"/>
      <c r="P357" s="6"/>
      <c r="Q357" s="6"/>
      <c r="R357" s="6"/>
      <c r="S357" s="6"/>
      <c r="T357" s="6"/>
      <c r="U357" s="6"/>
    </row>
    <row r="358" spans="15:21" x14ac:dyDescent="0.25">
      <c r="O358" s="6"/>
      <c r="P358" s="6"/>
      <c r="Q358" s="6"/>
      <c r="R358" s="6"/>
      <c r="S358" s="6"/>
      <c r="T358" s="6"/>
      <c r="U358" s="6"/>
    </row>
    <row r="359" spans="15:21" x14ac:dyDescent="0.25">
      <c r="O359" s="6"/>
      <c r="P359" s="6"/>
      <c r="Q359" s="6"/>
      <c r="R359" s="6"/>
      <c r="S359" s="6"/>
      <c r="T359" s="6"/>
      <c r="U359" s="6"/>
    </row>
    <row r="1048523" spans="1:21" x14ac:dyDescent="0.25">
      <c r="B1048523" s="71"/>
      <c r="C1048523" s="6"/>
      <c r="D1048523" s="6"/>
      <c r="E1048523" s="6"/>
      <c r="F1048523" s="6"/>
      <c r="G1048523" s="6"/>
      <c r="H1048523" s="6"/>
      <c r="I1048523" s="6"/>
      <c r="J1048523" s="6"/>
      <c r="K1048523" s="6"/>
      <c r="L1048523" s="6"/>
      <c r="M1048523" s="6"/>
      <c r="N1048523" s="6"/>
      <c r="O1048523" s="6"/>
      <c r="P1048523" s="6"/>
      <c r="Q1048523" s="6"/>
      <c r="R1048523" s="6"/>
      <c r="S1048523" s="6"/>
      <c r="T1048523" s="6"/>
      <c r="U1048523" s="6"/>
    </row>
    <row r="1048524" spans="1:21" x14ac:dyDescent="0.25">
      <c r="A1048524" s="70" t="s">
        <v>819</v>
      </c>
      <c r="B1048524" s="71"/>
      <c r="C1048524" s="6"/>
      <c r="D1048524" s="6"/>
      <c r="E1048524" s="6"/>
      <c r="F1048524" s="6"/>
      <c r="G1048524" s="6"/>
      <c r="H1048524" s="6"/>
      <c r="I1048524" s="6"/>
      <c r="J1048524" s="6"/>
      <c r="K1048524" s="6"/>
      <c r="L1048524" s="6"/>
      <c r="M1048524" s="6"/>
      <c r="N1048524" s="6"/>
      <c r="O1048524" s="6"/>
      <c r="P1048524" s="6"/>
      <c r="Q1048524" s="6"/>
      <c r="R1048524" s="6"/>
      <c r="S1048524" s="6"/>
      <c r="T1048524" s="6"/>
      <c r="U1048524" s="6"/>
    </row>
    <row r="1048525" spans="1:21" x14ac:dyDescent="0.25">
      <c r="A1048525" s="173" t="s">
        <v>820</v>
      </c>
      <c r="B1048525" s="173"/>
      <c r="C1048525" s="170"/>
      <c r="E1048525" s="170" t="s">
        <v>229</v>
      </c>
      <c r="G1048525" s="170" t="s">
        <v>821</v>
      </c>
      <c r="P1048525" s="6"/>
      <c r="Q1048525" s="6"/>
      <c r="R1048525" s="6"/>
      <c r="S1048525" s="6"/>
      <c r="T1048525" s="6"/>
      <c r="U1048525" s="6"/>
    </row>
    <row r="1048526" spans="1:21" x14ac:dyDescent="0.25">
      <c r="A1048526" s="173">
        <f>COUNTA(H4)</f>
        <v>0</v>
      </c>
      <c r="B1048526" s="173"/>
      <c r="C1048526" s="170"/>
      <c r="E1048526" s="170">
        <f>COUNTIF(H222,"Yes")</f>
        <v>0</v>
      </c>
      <c r="G1048526" s="578">
        <f>COUNTIFS(F4,"A",B5,"Urban")</f>
        <v>0</v>
      </c>
      <c r="P1048526" s="6"/>
      <c r="Q1048526" s="6"/>
      <c r="R1048526" s="6"/>
      <c r="S1048526" s="6"/>
      <c r="T1048526" s="6"/>
      <c r="U1048526" s="6"/>
    </row>
    <row r="1048527" spans="1:21" x14ac:dyDescent="0.25">
      <c r="A1048527" s="173">
        <f>1*COUNTIF(F4,"A")</f>
        <v>0</v>
      </c>
      <c r="B1048527" s="173">
        <f>COUNTIF(F4,"B")</f>
        <v>0</v>
      </c>
      <c r="C1048527" s="170">
        <f>COUNTIF(F4,"C")</f>
        <v>1</v>
      </c>
      <c r="E1048527" s="170">
        <f>COUNTIFS(H222,"Yes",H223,"Yes")</f>
        <v>0</v>
      </c>
      <c r="P1048527" s="6"/>
      <c r="Q1048527" s="6"/>
      <c r="R1048527" s="6"/>
      <c r="S1048527" s="6"/>
      <c r="T1048527" s="6"/>
      <c r="U1048527" s="6"/>
    </row>
    <row r="1048528" spans="1:21" x14ac:dyDescent="0.25">
      <c r="A1048528" s="579">
        <f>COUNTIF(B5,"Rural")</f>
        <v>0</v>
      </c>
      <c r="B1048528" s="579">
        <f>COUNTIF(B5,"Urban")</f>
        <v>0</v>
      </c>
      <c r="C1048528" s="580">
        <f>COUNTIF(B5,"Tribal")</f>
        <v>0</v>
      </c>
      <c r="P1048528" s="6"/>
      <c r="Q1048528" s="6"/>
      <c r="R1048528" s="6"/>
      <c r="S1048528" s="6"/>
      <c r="T1048528" s="6"/>
      <c r="U1048528" s="6"/>
    </row>
    <row r="1048529" spans="1:21" x14ac:dyDescent="0.25">
      <c r="A1048529" s="173">
        <f>COUNTIF(H21,"No")</f>
        <v>0</v>
      </c>
      <c r="B1048529" s="173"/>
      <c r="C1048529" s="170"/>
      <c r="P1048529" s="6"/>
      <c r="Q1048529" s="6"/>
      <c r="R1048529" s="6"/>
      <c r="S1048529" s="6"/>
      <c r="T1048529" s="6"/>
      <c r="U1048529" s="6"/>
    </row>
    <row r="1048530" spans="1:21" x14ac:dyDescent="0.25">
      <c r="P1048530" s="6"/>
      <c r="Q1048530" s="6"/>
      <c r="R1048530" s="6"/>
      <c r="S1048530" s="6"/>
      <c r="T1048530" s="6"/>
      <c r="U1048530" s="6"/>
    </row>
    <row r="1048531" spans="1:21" x14ac:dyDescent="0.25">
      <c r="A1048531" s="173" t="s">
        <v>822</v>
      </c>
      <c r="B1048531" s="173"/>
      <c r="C1048531" s="170"/>
      <c r="D1048531" s="170"/>
      <c r="E1048531" s="170"/>
      <c r="F1048531" s="170"/>
      <c r="G1048531" s="170"/>
      <c r="I1048531" s="170" t="s">
        <v>823</v>
      </c>
      <c r="J1048531" s="170"/>
      <c r="K1048531" s="170"/>
      <c r="L1048531" s="170"/>
      <c r="M1048531" s="170"/>
      <c r="N1048531" s="170"/>
      <c r="O1048531" s="170"/>
      <c r="P1048531" s="6"/>
      <c r="Q1048531" s="6"/>
      <c r="R1048531" s="6"/>
      <c r="S1048531" s="6"/>
      <c r="T1048531" s="6"/>
      <c r="U1048531" s="6"/>
    </row>
    <row r="1048532" spans="1:21" ht="30" x14ac:dyDescent="0.25">
      <c r="A1048532" s="173" t="s">
        <v>53</v>
      </c>
      <c r="B1048532" s="173" t="s">
        <v>54</v>
      </c>
      <c r="C1048532" s="173" t="s">
        <v>55</v>
      </c>
      <c r="D1048532" s="173" t="s">
        <v>56</v>
      </c>
      <c r="E1048532" s="579" t="s">
        <v>57</v>
      </c>
      <c r="F1048532" s="579" t="s">
        <v>58</v>
      </c>
      <c r="G1048532" s="579" t="s">
        <v>59</v>
      </c>
      <c r="I1048532" s="173" t="s">
        <v>53</v>
      </c>
      <c r="J1048532" s="173" t="s">
        <v>54</v>
      </c>
      <c r="K1048532" s="173" t="s">
        <v>55</v>
      </c>
      <c r="L1048532" s="173" t="s">
        <v>56</v>
      </c>
      <c r="M1048532" s="579" t="s">
        <v>57</v>
      </c>
      <c r="N1048532" s="579" t="s">
        <v>58</v>
      </c>
      <c r="O1048532" s="579" t="s">
        <v>59</v>
      </c>
      <c r="P1048532" s="6"/>
      <c r="Q1048532" s="6"/>
      <c r="R1048532" s="6"/>
      <c r="S1048532" s="6"/>
      <c r="T1048532" s="6"/>
      <c r="U1048532" s="6"/>
    </row>
    <row r="1048533" spans="1:21" x14ac:dyDescent="0.25">
      <c r="A1048533" s="173">
        <f>COUNTIFS($B$40:$B$42,"Solid",$D$40:$D$42,"1")</f>
        <v>0</v>
      </c>
      <c r="B1048533" s="173">
        <f>COUNTIFS($B$40:$B$42,"LPA",$D$40:$D$42,"1")</f>
        <v>0</v>
      </c>
      <c r="C1048533" s="170">
        <f>COUNTIFS($B$40:$B$42,"Liquid",$D$40:$D$42,"1")</f>
        <v>0</v>
      </c>
      <c r="D1048533" s="170">
        <f>COUNTIFS($B$40:$B$42,"Solid+LPA",$D$40:$D$42,"1")</f>
        <v>0</v>
      </c>
      <c r="E1048533" s="170">
        <f>COUNTIFS($B$40:$B$42,"Liquid+LPA",$D$40:$D$42,"1")</f>
        <v>0</v>
      </c>
      <c r="F1048533" s="170">
        <f>COUNTIFS($B$40:$B$42,"Solid+Liquid",$D$40:$D$42,"1")</f>
        <v>0</v>
      </c>
      <c r="G1048533" s="170">
        <f>COUNTIFS($B$40:$B$42,"Solid+Liquid+LPA",$D$40:$D$42,"1")</f>
        <v>0</v>
      </c>
      <c r="I1048533" s="170" t="e">
        <f>COUNTIFS(#REF!,"Solid",#REF!,"1")</f>
        <v>#REF!</v>
      </c>
      <c r="J1048533" s="170" t="e">
        <f>COUNTIFS(#REF!,"LPA",#REF!,"1")</f>
        <v>#REF!</v>
      </c>
      <c r="K1048533" s="170" t="e">
        <f>COUNTIFS(#REF!,"Liquid",#REF!,"1")</f>
        <v>#REF!</v>
      </c>
      <c r="L1048533" s="170" t="e">
        <f>COUNTIFS(#REF!,"Solid+LPA",#REF!,"1")</f>
        <v>#REF!</v>
      </c>
      <c r="M1048533" s="170" t="e">
        <f>COUNTIFS(#REF!,"Liquid+LPA",#REF!,"1")</f>
        <v>#REF!</v>
      </c>
      <c r="N1048533" s="170" t="e">
        <f>COUNTIFS(#REF!,"Solid+Liquid",#REF!,"1")</f>
        <v>#REF!</v>
      </c>
      <c r="O1048533" s="170" t="e">
        <f>COUNTIFS(#REF!,"Solid+Liquid+LPA",#REF!,"1")</f>
        <v>#REF!</v>
      </c>
      <c r="P1048533" s="6"/>
      <c r="Q1048533" s="6"/>
      <c r="R1048533" s="6"/>
      <c r="S1048533" s="6"/>
      <c r="T1048533" s="6"/>
      <c r="U1048533" s="6"/>
    </row>
    <row r="1048534" spans="1:21" x14ac:dyDescent="0.25">
      <c r="A1048534" s="173">
        <f>COUNTIFS($B$40:$B$42,"Solid",$E$40:$E$42,"1")</f>
        <v>0</v>
      </c>
      <c r="B1048534" s="173">
        <f>COUNTIFS($B$40:$B$42,"LPA",$E$40:$E$42,"1")</f>
        <v>0</v>
      </c>
      <c r="C1048534" s="170">
        <f>COUNTIFS($B$40:$B$42,"Liquid",$E$40:$E$42,"1")</f>
        <v>0</v>
      </c>
      <c r="D1048534" s="170">
        <f>COUNTIFS($B$40:$B$42,"Solid+LPA",$E$40:$E$42,"1")</f>
        <v>0</v>
      </c>
      <c r="E1048534" s="170">
        <f>COUNTIFS($B$40:$B$42,"Liquid+LPA",$E$40:$E$42,"1")</f>
        <v>0</v>
      </c>
      <c r="F1048534" s="170">
        <f>COUNTIFS($B$40:$B$42,"Solid+Liquid",$E$40:$E$42,"1")</f>
        <v>0</v>
      </c>
      <c r="G1048534" s="170">
        <f>COUNTIFS($B$40:$B$42,"Solid+Liquid+LPA",$E$40:$E$42,"1")</f>
        <v>0</v>
      </c>
      <c r="I1048534" s="170" t="e">
        <f>SUMIFS(#REF!,#REF!,"Solid")</f>
        <v>#REF!</v>
      </c>
      <c r="J1048534" s="170" t="e">
        <f>SUMIFS(#REF!,#REF!,"LPA")</f>
        <v>#REF!</v>
      </c>
      <c r="K1048534" s="170" t="e">
        <f>SUMIFS(#REF!,#REF!,"Liquid")</f>
        <v>#REF!</v>
      </c>
      <c r="L1048534" s="170" t="e">
        <f>SUMIFS(#REF!,#REF!,"Solid+LPA")</f>
        <v>#REF!</v>
      </c>
      <c r="M1048534" s="170" t="e">
        <f>SUMIFS(#REF!,#REF!,"Liquid+LPA")</f>
        <v>#REF!</v>
      </c>
      <c r="N1048534" s="170" t="e">
        <f>SUMIFS(#REF!,#REF!,"Solid+Liquid")</f>
        <v>#REF!</v>
      </c>
      <c r="O1048534" s="170" t="e">
        <f>SUMIFS(#REF!,#REF!,"Solid+Liquid+LPA")</f>
        <v>#REF!</v>
      </c>
      <c r="P1048534" s="6"/>
      <c r="Q1048534" s="6"/>
      <c r="R1048534" s="6"/>
      <c r="S1048534" s="6"/>
      <c r="T1048534" s="6"/>
      <c r="U1048534" s="6"/>
    </row>
    <row r="1048535" spans="1:21" x14ac:dyDescent="0.25">
      <c r="A1048535" s="173">
        <f>SUMIFS($F$40:$F$42,$B$40:$B$42,"Solid")</f>
        <v>0</v>
      </c>
      <c r="B1048535" s="173">
        <f>SUMIFS($F$40:$F$42,$B$40:$B$42,"LPA")</f>
        <v>0</v>
      </c>
      <c r="C1048535" s="170">
        <f>SUMIFS($F$40:$F$42,$B$40:$B$42,"Liquid")</f>
        <v>0</v>
      </c>
      <c r="D1048535" s="170">
        <f>SUMIFS($F$40:$F$42,$B$40:$B$42,"Solid+LPA")</f>
        <v>0</v>
      </c>
      <c r="E1048535" s="170">
        <f>SUMIFS($F$40:$F$42,$B$40:$B$42,"Liquid+LPA")</f>
        <v>0</v>
      </c>
      <c r="F1048535" s="170">
        <f>SUMIFS($F$40:$F$42,$B$40:$B$42,"Solid+Liquid")</f>
        <v>0</v>
      </c>
      <c r="G1048535" s="170">
        <f>SUMIFS($F$40:$F$42,$B$40:$B$42,"Solid+Liquid+LPA")</f>
        <v>0</v>
      </c>
      <c r="I1048535" s="170" t="e">
        <f>SUMIFS(#REF!,#REF!,"Solid")</f>
        <v>#REF!</v>
      </c>
      <c r="J1048535" s="170" t="e">
        <f>SUMIFS(#REF!,#REF!,"LPA")</f>
        <v>#REF!</v>
      </c>
      <c r="K1048535" s="170" t="e">
        <f>SUMIFS(#REF!,#REF!,"Liquid")</f>
        <v>#REF!</v>
      </c>
      <c r="L1048535" s="170" t="e">
        <f>SUMIFS(#REF!,#REF!,"Solid+LPA")</f>
        <v>#REF!</v>
      </c>
      <c r="M1048535" s="170" t="e">
        <f>SUMIFS(#REF!,#REF!,"Liquid+LPA")</f>
        <v>#REF!</v>
      </c>
      <c r="N1048535" s="170" t="e">
        <f>SUMIFS(#REF!,#REF!,"Solid+Liquid")</f>
        <v>#REF!</v>
      </c>
      <c r="O1048535" s="170" t="e">
        <f>SUMIFS(#REF!,#REF!,"Solid+Liquid+LPA")</f>
        <v>#REF!</v>
      </c>
      <c r="P1048535" s="6"/>
      <c r="Q1048535" s="6"/>
      <c r="R1048535" s="6"/>
      <c r="S1048535" s="6"/>
      <c r="T1048535" s="6"/>
      <c r="U1048535" s="6"/>
    </row>
    <row r="1048536" spans="1:21" x14ac:dyDescent="0.25">
      <c r="A1048536" s="173">
        <f>SUMIFS($G$40:$G$42,$B$40:$B$42,"Solid")</f>
        <v>0</v>
      </c>
      <c r="B1048536" s="173">
        <f>SUMIFS($G$40:$G$42,$B$40:$B$42,"LPA")</f>
        <v>0</v>
      </c>
      <c r="C1048536" s="170">
        <f>SUMIFS($G$40:$G$42,$B$40:$B$42,"Liquid")</f>
        <v>0</v>
      </c>
      <c r="D1048536" s="170">
        <f>SUMIFS($G$40:$G$42,$B$40:$B$42,"Solid+LPA")</f>
        <v>0</v>
      </c>
      <c r="E1048536" s="170">
        <f>SUMIFS($G$40:$G$42,$B$40:$B$42,"Liquid+LPA")</f>
        <v>0</v>
      </c>
      <c r="F1048536" s="170">
        <f>SUMIFS($G$40:$G$42,$B$40:$B$42,"Solid+Liquid")</f>
        <v>0</v>
      </c>
      <c r="G1048536" s="170">
        <f>SUMIFS($G$40:$G$42,$B$40:$B$42,"Solid+Liquid+LPA")</f>
        <v>0</v>
      </c>
      <c r="I1048536" s="170" t="e">
        <f>SUMIFS(#REF!,#REF!,"Solid")</f>
        <v>#REF!</v>
      </c>
      <c r="J1048536" s="170" t="e">
        <f>SUMIFS(#REF!,#REF!,"LPA")</f>
        <v>#REF!</v>
      </c>
      <c r="K1048536" s="170" t="e">
        <f>SUMIFS(#REF!,#REF!,"Liquid")</f>
        <v>#REF!</v>
      </c>
      <c r="L1048536" s="170" t="e">
        <f>SUMIFS(#REF!,#REF!,"Solid+LPA")</f>
        <v>#REF!</v>
      </c>
      <c r="M1048536" s="170" t="e">
        <f>SUMIFS(#REF!,#REF!,"Liquid+LPA")</f>
        <v>#REF!</v>
      </c>
      <c r="N1048536" s="170" t="e">
        <f>SUMIFS(#REF!,#REF!,"Solid+Liquid")</f>
        <v>#REF!</v>
      </c>
      <c r="O1048536" s="170" t="e">
        <f>SUMIFS(#REF!,#REF!,"Solid+Liquid+LPA")</f>
        <v>#REF!</v>
      </c>
      <c r="P1048536" s="6"/>
      <c r="Q1048536" s="6"/>
      <c r="R1048536" s="6"/>
      <c r="S1048536" s="6"/>
      <c r="T1048536" s="6"/>
      <c r="U1048536" s="6"/>
    </row>
    <row r="1048537" spans="1:21" x14ac:dyDescent="0.25">
      <c r="A1048537" s="173" t="e">
        <f>SUMIFS(#REF!,$B$40:$B$42,"Solid")</f>
        <v>#REF!</v>
      </c>
      <c r="B1048537" s="173" t="e">
        <f>SUMIFS(#REF!,$B$40:$B$42,"LPA")</f>
        <v>#REF!</v>
      </c>
      <c r="C1048537" s="170" t="e">
        <f>SUMIFS(#REF!,$B$40:$B$42,"Liquid")</f>
        <v>#REF!</v>
      </c>
      <c r="D1048537" s="170" t="e">
        <f>SUMIFS(#REF!,$B$40:$B$42,"Solid+LPA")</f>
        <v>#REF!</v>
      </c>
      <c r="E1048537" s="170" t="e">
        <f>SUMIFS(#REF!,$B$40:$B$42,"Liquid+LPA")</f>
        <v>#REF!</v>
      </c>
      <c r="F1048537" s="170" t="e">
        <f>SUMIFS(#REF!,$B$40:$B$42,"Solid+Liquid")</f>
        <v>#REF!</v>
      </c>
      <c r="G1048537" s="170" t="e">
        <f>SUMIFS(#REF!,$B$40:$B$42,"Solid+Liquid+LPA")</f>
        <v>#REF!</v>
      </c>
      <c r="I1048537" s="170" t="e">
        <f>SUMIFS(#REF!,#REF!,"Solid")</f>
        <v>#REF!</v>
      </c>
      <c r="J1048537" s="170" t="e">
        <f>SUMIFS(#REF!,#REF!,"LPA")</f>
        <v>#REF!</v>
      </c>
      <c r="K1048537" s="170" t="e">
        <f>SUMIFS(#REF!,#REF!,"Liquid")</f>
        <v>#REF!</v>
      </c>
      <c r="L1048537" s="170" t="e">
        <f>SUMIFS(#REF!,#REF!,"Solid+LPA")</f>
        <v>#REF!</v>
      </c>
      <c r="M1048537" s="170" t="e">
        <f>SUMIFS(#REF!,#REF!,"Liquid+LPA")</f>
        <v>#REF!</v>
      </c>
      <c r="N1048537" s="170" t="e">
        <f>SUMIFS(#REF!,#REF!,"Solid+Liquid")</f>
        <v>#REF!</v>
      </c>
      <c r="O1048537" s="170" t="e">
        <f>SUMIFS(#REF!,#REF!,"Solid+Liquid+LPA")</f>
        <v>#REF!</v>
      </c>
      <c r="P1048537" s="6"/>
      <c r="Q1048537" s="6"/>
      <c r="R1048537" s="6"/>
      <c r="S1048537" s="6"/>
      <c r="T1048537" s="6"/>
      <c r="U1048537" s="6"/>
    </row>
    <row r="1048538" spans="1:21" x14ac:dyDescent="0.25">
      <c r="I1048538" s="170" t="e">
        <f>SUMIFS(#REF!,#REF!,"Solid")</f>
        <v>#REF!</v>
      </c>
      <c r="J1048538" s="170" t="e">
        <f>SUMIFS(#REF!,#REF!,"LPA")</f>
        <v>#REF!</v>
      </c>
      <c r="K1048538" s="170" t="e">
        <f>SUMIFS(#REF!,#REF!,"Liquid")</f>
        <v>#REF!</v>
      </c>
      <c r="L1048538" s="170" t="e">
        <f>SUMIFS(#REF!,#REF!,"Solid+LPA")</f>
        <v>#REF!</v>
      </c>
      <c r="M1048538" s="170" t="e">
        <f>SUMIFS(#REF!,#REF!,"Liquid+LPA")</f>
        <v>#REF!</v>
      </c>
      <c r="N1048538" s="170" t="e">
        <f>SUMIFS(#REF!,#REF!,"Solid+Liquid")</f>
        <v>#REF!</v>
      </c>
      <c r="O1048538" s="170" t="e">
        <f>SUMIFS(#REF!,#REF!,"Solid+Liquid+LPA")</f>
        <v>#REF!</v>
      </c>
      <c r="P1048538" s="6"/>
      <c r="Q1048538" s="6"/>
      <c r="R1048538" s="6"/>
      <c r="S1048538" s="6"/>
      <c r="T1048538" s="6"/>
      <c r="U1048538" s="6"/>
    </row>
  </sheetData>
  <protectedRanges>
    <protectedRange sqref="D296:H314 K296:M314" name="Summary of Budget Proposed"/>
    <protectedRange sqref="A277 I271 C272:H277" name="Patient Support"/>
    <protectedRange sqref="B239:D240 B242:D243 G239:H240 G242:H243 I236" name="Procurement of Vehicles"/>
    <protectedRange sqref="C218:H218 I216" name="Printing"/>
    <protectedRange sqref="A205 C200:H207 I198" name="Office Operations"/>
    <protectedRange sqref="C149:H151 I147" name="PPM"/>
    <protectedRange sqref="C127:C128 C130:C131 B133:C134 E127:H128 E130:H131 E133:H134 I125" name="Vehicle Maintenance"/>
    <protectedRange sqref="C104:C116 A113:B116 D113:D116 E104:H116 I104" name="Equipment Maintenance"/>
    <protectedRange sqref="D62:H67 A67:C67 I61 F72:I75" name="Honorarium"/>
    <protectedRange sqref="B40:B42 D37:G38 D40:G48 C44:C45 L37" name="Civil works"/>
    <protectedRange sqref="D54:H56 I52" name="Lab Materials"/>
    <protectedRange sqref="B81:F81 H81 I79 B86:G98 A91:A98 I86:I98" name="ACSM"/>
    <protectedRange sqref="B122:H122 I120" name="Training"/>
    <protectedRange sqref="C140 C142:C143 E140:H140 E142:H143 I138" name="Vehicle Hiring"/>
    <protectedRange sqref="I157:K161 C168:H170 C172:H174 C176:C177 A178:H179 E176:H177 B181:C184 E181:H184 C186:C187 E186:H187 E189:H189 C191:H191 C193:C194 E193:H194 I167" name="Medical Colleges"/>
    <protectedRange sqref="A213:H213" name="Contractual Services"/>
    <protectedRange sqref="H222:H224 I221" name="Research and Studies"/>
    <protectedRange sqref="B250:D252 B254:D266 A265:A266 G265:H266 G263 G254:H261 I248" name="Procurement of Equipment"/>
    <protectedRange sqref="A288 D283:H288 I282" name="Supervision and Monitoring"/>
    <protectedRange sqref="B323:M332" name="Additionalities"/>
    <protectedRange sqref="D4 H4 B4:B5 H9:I10 H12:I13 H15:I18 B18 H21:K29 A29 Q18:U28" name="General"/>
    <protectedRange sqref="B229:H232 I227" name="Procurement of drugs"/>
  </protectedRanges>
  <mergeCells count="557">
    <mergeCell ref="A1:I1"/>
    <mergeCell ref="K293:M293"/>
    <mergeCell ref="K294:M294"/>
    <mergeCell ref="E248:F248"/>
    <mergeCell ref="E249:F249"/>
    <mergeCell ref="E250:F250"/>
    <mergeCell ref="E251:F251"/>
    <mergeCell ref="E252:F252"/>
    <mergeCell ref="S16:U16"/>
    <mergeCell ref="Q16:R16"/>
    <mergeCell ref="M16:P17"/>
    <mergeCell ref="I280:M281"/>
    <mergeCell ref="I282:M289"/>
    <mergeCell ref="E285:F285"/>
    <mergeCell ref="G285:H285"/>
    <mergeCell ref="A286:B286"/>
    <mergeCell ref="E286:F286"/>
    <mergeCell ref="G286:H286"/>
    <mergeCell ref="A288:B288"/>
    <mergeCell ref="E288:F288"/>
    <mergeCell ref="G288:H288"/>
    <mergeCell ref="G283:H283"/>
    <mergeCell ref="A283:B283"/>
    <mergeCell ref="E283:F283"/>
    <mergeCell ref="I246:M247"/>
    <mergeCell ref="G244:H244"/>
    <mergeCell ref="G249:H249"/>
    <mergeCell ref="C250:D250"/>
    <mergeCell ref="G250:H250"/>
    <mergeCell ref="C248:D248"/>
    <mergeCell ref="G248:H248"/>
    <mergeCell ref="C249:D249"/>
    <mergeCell ref="C252:D252"/>
    <mergeCell ref="G252:H252"/>
    <mergeCell ref="C251:D251"/>
    <mergeCell ref="G251:H251"/>
    <mergeCell ref="I248:M267"/>
    <mergeCell ref="C253:D253"/>
    <mergeCell ref="G253:H253"/>
    <mergeCell ref="C254:D254"/>
    <mergeCell ref="C258:D258"/>
    <mergeCell ref="G258:H258"/>
    <mergeCell ref="C255:D255"/>
    <mergeCell ref="G255:H255"/>
    <mergeCell ref="E257:F257"/>
    <mergeCell ref="A280:H280"/>
    <mergeCell ref="E238:F238"/>
    <mergeCell ref="E239:F239"/>
    <mergeCell ref="E240:F240"/>
    <mergeCell ref="E241:F241"/>
    <mergeCell ref="E242:F242"/>
    <mergeCell ref="E243:F243"/>
    <mergeCell ref="E244:F244"/>
    <mergeCell ref="C238:D238"/>
    <mergeCell ref="G241:H241"/>
    <mergeCell ref="A220:H220"/>
    <mergeCell ref="I220:M220"/>
    <mergeCell ref="I221:M224"/>
    <mergeCell ref="D228:E228"/>
    <mergeCell ref="D229:E229"/>
    <mergeCell ref="G228:H228"/>
    <mergeCell ref="G229:H229"/>
    <mergeCell ref="G230:H230"/>
    <mergeCell ref="E237:F237"/>
    <mergeCell ref="G233:H233"/>
    <mergeCell ref="I332:M332"/>
    <mergeCell ref="I333:M333"/>
    <mergeCell ref="I324:M324"/>
    <mergeCell ref="I325:M325"/>
    <mergeCell ref="I326:M326"/>
    <mergeCell ref="I327:M327"/>
    <mergeCell ref="I328:M328"/>
    <mergeCell ref="I329:M329"/>
    <mergeCell ref="I330:M330"/>
    <mergeCell ref="I331:M331"/>
    <mergeCell ref="A2:I2"/>
    <mergeCell ref="A3:I3"/>
    <mergeCell ref="H4:I4"/>
    <mergeCell ref="A7:I7"/>
    <mergeCell ref="B9:G9"/>
    <mergeCell ref="H9:I9"/>
    <mergeCell ref="B16:G16"/>
    <mergeCell ref="B10:G10"/>
    <mergeCell ref="H10:I10"/>
    <mergeCell ref="B11:G11"/>
    <mergeCell ref="H11:I11"/>
    <mergeCell ref="B12:G12"/>
    <mergeCell ref="H12:I12"/>
    <mergeCell ref="H16:I16"/>
    <mergeCell ref="B18:G18"/>
    <mergeCell ref="H18:I18"/>
    <mergeCell ref="A25:G25"/>
    <mergeCell ref="B13:G13"/>
    <mergeCell ref="H13:I13"/>
    <mergeCell ref="B14:G14"/>
    <mergeCell ref="H14:I14"/>
    <mergeCell ref="B15:G15"/>
    <mergeCell ref="H15:I15"/>
    <mergeCell ref="A21:G21"/>
    <mergeCell ref="A22:G22"/>
    <mergeCell ref="A23:G23"/>
    <mergeCell ref="A20:G20"/>
    <mergeCell ref="B17:G17"/>
    <mergeCell ref="H17:I17"/>
    <mergeCell ref="A24:G24"/>
    <mergeCell ref="A26:G26"/>
    <mergeCell ref="I34:K34"/>
    <mergeCell ref="A35:B36"/>
    <mergeCell ref="C35:C36"/>
    <mergeCell ref="D35:D36"/>
    <mergeCell ref="E35:E36"/>
    <mergeCell ref="F35:H35"/>
    <mergeCell ref="I35:I36"/>
    <mergeCell ref="J35:J36"/>
    <mergeCell ref="K35:K36"/>
    <mergeCell ref="I33:K33"/>
    <mergeCell ref="A28:G28"/>
    <mergeCell ref="A29:G29"/>
    <mergeCell ref="A51:H51"/>
    <mergeCell ref="A52:B53"/>
    <mergeCell ref="C52:C53"/>
    <mergeCell ref="I51:M51"/>
    <mergeCell ref="A54:B54"/>
    <mergeCell ref="A55:B55"/>
    <mergeCell ref="L37:M49"/>
    <mergeCell ref="A47:B47"/>
    <mergeCell ref="A27:G27"/>
    <mergeCell ref="A31:Q31"/>
    <mergeCell ref="A33:H33"/>
    <mergeCell ref="L33:M36"/>
    <mergeCell ref="A43:B43"/>
    <mergeCell ref="A44:B44"/>
    <mergeCell ref="A45:B45"/>
    <mergeCell ref="A46:B46"/>
    <mergeCell ref="A48:B48"/>
    <mergeCell ref="A49:B49"/>
    <mergeCell ref="A37:B37"/>
    <mergeCell ref="A38:B38"/>
    <mergeCell ref="A39:B39"/>
    <mergeCell ref="I52:M57"/>
    <mergeCell ref="I59:M60"/>
    <mergeCell ref="I61:M68"/>
    <mergeCell ref="A67:B67"/>
    <mergeCell ref="F67:G67"/>
    <mergeCell ref="A68:B68"/>
    <mergeCell ref="F68:G68"/>
    <mergeCell ref="A65:B65"/>
    <mergeCell ref="F65:G65"/>
    <mergeCell ref="D52:E52"/>
    <mergeCell ref="F52:F53"/>
    <mergeCell ref="G52:H52"/>
    <mergeCell ref="A66:B66"/>
    <mergeCell ref="A61:B61"/>
    <mergeCell ref="F61:G61"/>
    <mergeCell ref="A62:B62"/>
    <mergeCell ref="A56:B56"/>
    <mergeCell ref="A57:B57"/>
    <mergeCell ref="A64:B64"/>
    <mergeCell ref="F64:G64"/>
    <mergeCell ref="F62:G62"/>
    <mergeCell ref="A63:B63"/>
    <mergeCell ref="F63:G63"/>
    <mergeCell ref="A76:E76"/>
    <mergeCell ref="H76:I76"/>
    <mergeCell ref="A70:I70"/>
    <mergeCell ref="A71:E71"/>
    <mergeCell ref="H71:I71"/>
    <mergeCell ref="A72:E72"/>
    <mergeCell ref="H72:I72"/>
    <mergeCell ref="A73:E73"/>
    <mergeCell ref="H73:I73"/>
    <mergeCell ref="A74:E74"/>
    <mergeCell ref="H74:I74"/>
    <mergeCell ref="A75:E75"/>
    <mergeCell ref="H75:I75"/>
    <mergeCell ref="I124:M124"/>
    <mergeCell ref="G108:H108"/>
    <mergeCell ref="A101:H101"/>
    <mergeCell ref="I101:M103"/>
    <mergeCell ref="A103:B103"/>
    <mergeCell ref="A105:B105"/>
    <mergeCell ref="G105:H105"/>
    <mergeCell ref="A116:B116"/>
    <mergeCell ref="G116:H116"/>
    <mergeCell ref="A110:B110"/>
    <mergeCell ref="G110:H110"/>
    <mergeCell ref="A111:B111"/>
    <mergeCell ref="G111:H111"/>
    <mergeCell ref="A112:B112"/>
    <mergeCell ref="G112:H112"/>
    <mergeCell ref="A113:B113"/>
    <mergeCell ref="G113:H113"/>
    <mergeCell ref="A114:B114"/>
    <mergeCell ref="G114:H114"/>
    <mergeCell ref="A115:B115"/>
    <mergeCell ref="G115:H115"/>
    <mergeCell ref="G106:H106"/>
    <mergeCell ref="A107:B107"/>
    <mergeCell ref="G133:H133"/>
    <mergeCell ref="G134:H134"/>
    <mergeCell ref="G131:H131"/>
    <mergeCell ref="G132:H132"/>
    <mergeCell ref="I125:M135"/>
    <mergeCell ref="G128:H128"/>
    <mergeCell ref="G129:H129"/>
    <mergeCell ref="G130:H130"/>
    <mergeCell ref="G126:H126"/>
    <mergeCell ref="G127:H127"/>
    <mergeCell ref="J157:K157"/>
    <mergeCell ref="A158:H158"/>
    <mergeCell ref="J158:K158"/>
    <mergeCell ref="A159:H159"/>
    <mergeCell ref="J159:K159"/>
    <mergeCell ref="A156:H156"/>
    <mergeCell ref="J156:K156"/>
    <mergeCell ref="G151:H151"/>
    <mergeCell ref="G152:H152"/>
    <mergeCell ref="G201:H201"/>
    <mergeCell ref="G202:H202"/>
    <mergeCell ref="G203:H203"/>
    <mergeCell ref="G199:H199"/>
    <mergeCell ref="G200:H200"/>
    <mergeCell ref="A160:H160"/>
    <mergeCell ref="J160:K160"/>
    <mergeCell ref="A161:H161"/>
    <mergeCell ref="J161:K161"/>
    <mergeCell ref="A164:B166"/>
    <mergeCell ref="C164:C166"/>
    <mergeCell ref="E164:E166"/>
    <mergeCell ref="G164:G166"/>
    <mergeCell ref="A167:B167"/>
    <mergeCell ref="D167:E167"/>
    <mergeCell ref="F167:G167"/>
    <mergeCell ref="D164:D166"/>
    <mergeCell ref="F164:F166"/>
    <mergeCell ref="H164:H166"/>
    <mergeCell ref="I164:M166"/>
    <mergeCell ref="I167:M195"/>
    <mergeCell ref="D180:E180"/>
    <mergeCell ref="F180:G180"/>
    <mergeCell ref="A177:B177"/>
    <mergeCell ref="E208:F208"/>
    <mergeCell ref="C205:D205"/>
    <mergeCell ref="E205:F205"/>
    <mergeCell ref="G204:H204"/>
    <mergeCell ref="G205:H205"/>
    <mergeCell ref="G206:H206"/>
    <mergeCell ref="G207:H207"/>
    <mergeCell ref="G208:H208"/>
    <mergeCell ref="E203:F203"/>
    <mergeCell ref="C204:D204"/>
    <mergeCell ref="E204:F204"/>
    <mergeCell ref="E258:F258"/>
    <mergeCell ref="C257:D257"/>
    <mergeCell ref="G257:H257"/>
    <mergeCell ref="G254:H254"/>
    <mergeCell ref="E253:F253"/>
    <mergeCell ref="E254:F254"/>
    <mergeCell ref="E259:F259"/>
    <mergeCell ref="E260:F260"/>
    <mergeCell ref="C259:D259"/>
    <mergeCell ref="G259:H259"/>
    <mergeCell ref="C260:D260"/>
    <mergeCell ref="G260:H260"/>
    <mergeCell ref="E255:F255"/>
    <mergeCell ref="E256:F256"/>
    <mergeCell ref="G256:H256"/>
    <mergeCell ref="C256:D256"/>
    <mergeCell ref="C261:D261"/>
    <mergeCell ref="G261:H261"/>
    <mergeCell ref="C262:D262"/>
    <mergeCell ref="G262:H262"/>
    <mergeCell ref="E261:F261"/>
    <mergeCell ref="E262:F262"/>
    <mergeCell ref="C263:D263"/>
    <mergeCell ref="G263:H263"/>
    <mergeCell ref="C264:D264"/>
    <mergeCell ref="G264:H264"/>
    <mergeCell ref="E263:F263"/>
    <mergeCell ref="E264:F264"/>
    <mergeCell ref="A267:D267"/>
    <mergeCell ref="G267:H267"/>
    <mergeCell ref="A274:B274"/>
    <mergeCell ref="C274:D274"/>
    <mergeCell ref="G274:H274"/>
    <mergeCell ref="G272:H272"/>
    <mergeCell ref="A273:B273"/>
    <mergeCell ref="C273:D273"/>
    <mergeCell ref="E267:F267"/>
    <mergeCell ref="A269:H269"/>
    <mergeCell ref="G273:H273"/>
    <mergeCell ref="I271:M278"/>
    <mergeCell ref="A271:B271"/>
    <mergeCell ref="C271:D271"/>
    <mergeCell ref="G271:H271"/>
    <mergeCell ref="A272:B272"/>
    <mergeCell ref="C272:D272"/>
    <mergeCell ref="A275:B275"/>
    <mergeCell ref="C275:D275"/>
    <mergeCell ref="G275:H275"/>
    <mergeCell ref="A276:B276"/>
    <mergeCell ref="C276:D276"/>
    <mergeCell ref="G276:H276"/>
    <mergeCell ref="B301:C301"/>
    <mergeCell ref="I301:J301"/>
    <mergeCell ref="E284:F284"/>
    <mergeCell ref="G284:H284"/>
    <mergeCell ref="A285:B285"/>
    <mergeCell ref="A294:A295"/>
    <mergeCell ref="B294:C295"/>
    <mergeCell ref="D294:E294"/>
    <mergeCell ref="F294:H294"/>
    <mergeCell ref="I294:J295"/>
    <mergeCell ref="A289:B289"/>
    <mergeCell ref="E289:F289"/>
    <mergeCell ref="G289:H289"/>
    <mergeCell ref="A287:B287"/>
    <mergeCell ref="E287:F287"/>
    <mergeCell ref="G287:H287"/>
    <mergeCell ref="A284:B284"/>
    <mergeCell ref="I299:J299"/>
    <mergeCell ref="B298:C298"/>
    <mergeCell ref="I298:J298"/>
    <mergeCell ref="I297:J297"/>
    <mergeCell ref="B300:C300"/>
    <mergeCell ref="C283:C288"/>
    <mergeCell ref="F325:G325"/>
    <mergeCell ref="B311:C311"/>
    <mergeCell ref="I311:J311"/>
    <mergeCell ref="B308:C308"/>
    <mergeCell ref="I308:J308"/>
    <mergeCell ref="B309:C309"/>
    <mergeCell ref="I309:J309"/>
    <mergeCell ref="B314:C314"/>
    <mergeCell ref="I314:J314"/>
    <mergeCell ref="B315:C315"/>
    <mergeCell ref="I315:J315"/>
    <mergeCell ref="B312:C312"/>
    <mergeCell ref="I312:J312"/>
    <mergeCell ref="B313:C313"/>
    <mergeCell ref="I313:J313"/>
    <mergeCell ref="B323:C323"/>
    <mergeCell ref="F323:G323"/>
    <mergeCell ref="A320:H320"/>
    <mergeCell ref="I320:M320"/>
    <mergeCell ref="I321:M322"/>
    <mergeCell ref="I323:M323"/>
    <mergeCell ref="I78:M78"/>
    <mergeCell ref="I79:M81"/>
    <mergeCell ref="H79:H80"/>
    <mergeCell ref="G79:G80"/>
    <mergeCell ref="F79:F80"/>
    <mergeCell ref="E79:E80"/>
    <mergeCell ref="D79:D80"/>
    <mergeCell ref="C79:C80"/>
    <mergeCell ref="B79:B80"/>
    <mergeCell ref="B330:C330"/>
    <mergeCell ref="F330:G330"/>
    <mergeCell ref="B331:C331"/>
    <mergeCell ref="F331:G331"/>
    <mergeCell ref="B332:C332"/>
    <mergeCell ref="F332:G332"/>
    <mergeCell ref="F333:G333"/>
    <mergeCell ref="A333:E333"/>
    <mergeCell ref="A78:H78"/>
    <mergeCell ref="A79:A80"/>
    <mergeCell ref="F326:G326"/>
    <mergeCell ref="B327:C327"/>
    <mergeCell ref="F327:G327"/>
    <mergeCell ref="B328:C328"/>
    <mergeCell ref="F328:G328"/>
    <mergeCell ref="B329:C329"/>
    <mergeCell ref="F329:G329"/>
    <mergeCell ref="B326:C326"/>
    <mergeCell ref="B296:C296"/>
    <mergeCell ref="B297:C297"/>
    <mergeCell ref="B302:C302"/>
    <mergeCell ref="B324:C324"/>
    <mergeCell ref="F324:G324"/>
    <mergeCell ref="B325:C325"/>
    <mergeCell ref="I137:M137"/>
    <mergeCell ref="I138:M144"/>
    <mergeCell ref="I120:M122"/>
    <mergeCell ref="A104:B104"/>
    <mergeCell ref="A117:B117"/>
    <mergeCell ref="G121:H121"/>
    <mergeCell ref="G122:H122"/>
    <mergeCell ref="E121:F121"/>
    <mergeCell ref="C121:D121"/>
    <mergeCell ref="E122:F122"/>
    <mergeCell ref="C122:D122"/>
    <mergeCell ref="G117:H117"/>
    <mergeCell ref="A109:B109"/>
    <mergeCell ref="G139:H139"/>
    <mergeCell ref="G140:H140"/>
    <mergeCell ref="G141:H141"/>
    <mergeCell ref="G142:H142"/>
    <mergeCell ref="G143:H143"/>
    <mergeCell ref="G144:H144"/>
    <mergeCell ref="A135:C135"/>
    <mergeCell ref="G135:H135"/>
    <mergeCell ref="A144:C144"/>
    <mergeCell ref="B142:B143"/>
    <mergeCell ref="A137:H137"/>
    <mergeCell ref="A146:H146"/>
    <mergeCell ref="I146:M146"/>
    <mergeCell ref="I147:M152"/>
    <mergeCell ref="G148:H148"/>
    <mergeCell ref="G149:H149"/>
    <mergeCell ref="G150:H150"/>
    <mergeCell ref="A179:B179"/>
    <mergeCell ref="A190:B190"/>
    <mergeCell ref="D190:E190"/>
    <mergeCell ref="F190:G190"/>
    <mergeCell ref="A187:B187"/>
    <mergeCell ref="A188:B188"/>
    <mergeCell ref="D188:E188"/>
    <mergeCell ref="F188:G188"/>
    <mergeCell ref="A185:B185"/>
    <mergeCell ref="D185:E185"/>
    <mergeCell ref="F185:G185"/>
    <mergeCell ref="A186:B186"/>
    <mergeCell ref="A178:B178"/>
    <mergeCell ref="A175:B175"/>
    <mergeCell ref="D175:E175"/>
    <mergeCell ref="F175:G175"/>
    <mergeCell ref="A176:B176"/>
    <mergeCell ref="A157:H157"/>
    <mergeCell ref="I84:I85"/>
    <mergeCell ref="G104:H104"/>
    <mergeCell ref="I104:M117"/>
    <mergeCell ref="A119:H119"/>
    <mergeCell ref="I119:M119"/>
    <mergeCell ref="C218:D218"/>
    <mergeCell ref="G217:H217"/>
    <mergeCell ref="G218:H218"/>
    <mergeCell ref="A215:H215"/>
    <mergeCell ref="I215:M215"/>
    <mergeCell ref="I216:M218"/>
    <mergeCell ref="D181:D184"/>
    <mergeCell ref="E181:E184"/>
    <mergeCell ref="I197:M197"/>
    <mergeCell ref="I198:M208"/>
    <mergeCell ref="C206:D206"/>
    <mergeCell ref="E206:F206"/>
    <mergeCell ref="C203:D203"/>
    <mergeCell ref="A195:C195"/>
    <mergeCell ref="A193:B193"/>
    <mergeCell ref="A194:B194"/>
    <mergeCell ref="A191:B191"/>
    <mergeCell ref="A192:B192"/>
    <mergeCell ref="D192:E192"/>
    <mergeCell ref="A84:A85"/>
    <mergeCell ref="B84:B85"/>
    <mergeCell ref="C84:C85"/>
    <mergeCell ref="G109:H109"/>
    <mergeCell ref="A106:B106"/>
    <mergeCell ref="A108:B108"/>
    <mergeCell ref="G107:H107"/>
    <mergeCell ref="G103:H103"/>
    <mergeCell ref="D84:H84"/>
    <mergeCell ref="A171:B171"/>
    <mergeCell ref="A212:B212"/>
    <mergeCell ref="A213:B213"/>
    <mergeCell ref="G212:H212"/>
    <mergeCell ref="G213:H213"/>
    <mergeCell ref="A210:H210"/>
    <mergeCell ref="I210:M210"/>
    <mergeCell ref="I211:M213"/>
    <mergeCell ref="A217:B217"/>
    <mergeCell ref="C217:D217"/>
    <mergeCell ref="F192:G192"/>
    <mergeCell ref="A189:B189"/>
    <mergeCell ref="A172:B172"/>
    <mergeCell ref="B200:B205"/>
    <mergeCell ref="C200:D200"/>
    <mergeCell ref="E200:F200"/>
    <mergeCell ref="C201:D201"/>
    <mergeCell ref="E201:F201"/>
    <mergeCell ref="C202:D202"/>
    <mergeCell ref="C199:D199"/>
    <mergeCell ref="E199:F199"/>
    <mergeCell ref="E202:F202"/>
    <mergeCell ref="C207:D207"/>
    <mergeCell ref="E207:F207"/>
    <mergeCell ref="G231:H231"/>
    <mergeCell ref="G232:H232"/>
    <mergeCell ref="G237:H237"/>
    <mergeCell ref="G238:H238"/>
    <mergeCell ref="G239:H239"/>
    <mergeCell ref="G240:H240"/>
    <mergeCell ref="I235:M235"/>
    <mergeCell ref="I236:M244"/>
    <mergeCell ref="A173:B173"/>
    <mergeCell ref="A174:B174"/>
    <mergeCell ref="A218:B218"/>
    <mergeCell ref="D227:E227"/>
    <mergeCell ref="A223:G223"/>
    <mergeCell ref="A224:G224"/>
    <mergeCell ref="A222:G222"/>
    <mergeCell ref="G227:H227"/>
    <mergeCell ref="A226:H226"/>
    <mergeCell ref="I226:M226"/>
    <mergeCell ref="I227:M233"/>
    <mergeCell ref="D231:E231"/>
    <mergeCell ref="D230:E230"/>
    <mergeCell ref="D232:E232"/>
    <mergeCell ref="D233:E233"/>
    <mergeCell ref="C208:D208"/>
    <mergeCell ref="A233:B233"/>
    <mergeCell ref="A282:B282"/>
    <mergeCell ref="E282:F282"/>
    <mergeCell ref="G282:H282"/>
    <mergeCell ref="A277:B277"/>
    <mergeCell ref="C277:D277"/>
    <mergeCell ref="G277:H277"/>
    <mergeCell ref="A278:B278"/>
    <mergeCell ref="C278:D278"/>
    <mergeCell ref="G278:H278"/>
    <mergeCell ref="C237:D237"/>
    <mergeCell ref="C239:D239"/>
    <mergeCell ref="C240:D240"/>
    <mergeCell ref="C241:D241"/>
    <mergeCell ref="C242:D242"/>
    <mergeCell ref="C243:D243"/>
    <mergeCell ref="G242:H242"/>
    <mergeCell ref="G243:H243"/>
    <mergeCell ref="C265:D265"/>
    <mergeCell ref="G265:H265"/>
    <mergeCell ref="C266:D266"/>
    <mergeCell ref="G266:H266"/>
    <mergeCell ref="E265:F265"/>
    <mergeCell ref="E266:F266"/>
    <mergeCell ref="A244:D244"/>
    <mergeCell ref="B322:C322"/>
    <mergeCell ref="F322:G322"/>
    <mergeCell ref="B316:C316"/>
    <mergeCell ref="I316:J316"/>
    <mergeCell ref="B317:C317"/>
    <mergeCell ref="I317:J317"/>
    <mergeCell ref="B306:C306"/>
    <mergeCell ref="I306:J306"/>
    <mergeCell ref="B307:C307"/>
    <mergeCell ref="I307:J307"/>
    <mergeCell ref="B304:C304"/>
    <mergeCell ref="I304:J304"/>
    <mergeCell ref="B305:C305"/>
    <mergeCell ref="I305:J305"/>
    <mergeCell ref="B299:C299"/>
    <mergeCell ref="B310:C310"/>
    <mergeCell ref="I310:J310"/>
    <mergeCell ref="I296:J296"/>
    <mergeCell ref="I269:M270"/>
    <mergeCell ref="I302:J302"/>
    <mergeCell ref="B303:C303"/>
    <mergeCell ref="I303:J303"/>
    <mergeCell ref="I300:J300"/>
  </mergeCells>
  <conditionalFormatting sqref="H14:I14">
    <cfRule type="cellIs" dxfId="65" priority="121" operator="notEqual">
      <formula>$H$9</formula>
    </cfRule>
  </conditionalFormatting>
  <conditionalFormatting sqref="D44">
    <cfRule type="cellIs" dxfId="64" priority="120" operator="greaterThan">
      <formula>$H$22</formula>
    </cfRule>
  </conditionalFormatting>
  <conditionalFormatting sqref="F37">
    <cfRule type="cellIs" dxfId="63" priority="119" operator="greaterThan">
      <formula>$I$37</formula>
    </cfRule>
  </conditionalFormatting>
  <conditionalFormatting sqref="G37">
    <cfRule type="cellIs" dxfId="62" priority="118" operator="greaterThan">
      <formula>$J$37</formula>
    </cfRule>
  </conditionalFormatting>
  <conditionalFormatting sqref="F38">
    <cfRule type="cellIs" dxfId="61" priority="117" operator="greaterThan">
      <formula>$I$38</formula>
    </cfRule>
  </conditionalFormatting>
  <conditionalFormatting sqref="G38">
    <cfRule type="cellIs" dxfId="60" priority="116" operator="greaterThan">
      <formula>$J$38</formula>
    </cfRule>
  </conditionalFormatting>
  <conditionalFormatting sqref="F40">
    <cfRule type="cellIs" dxfId="59" priority="115" operator="greaterThan">
      <formula>$I$40</formula>
    </cfRule>
  </conditionalFormatting>
  <conditionalFormatting sqref="G40">
    <cfRule type="cellIs" dxfId="58" priority="114" operator="greaterThan">
      <formula>$J$40</formula>
    </cfRule>
  </conditionalFormatting>
  <conditionalFormatting sqref="F43">
    <cfRule type="cellIs" dxfId="57" priority="113" operator="greaterThan">
      <formula>$I$43</formula>
    </cfRule>
  </conditionalFormatting>
  <conditionalFormatting sqref="F44">
    <cfRule type="cellIs" dxfId="56" priority="112" operator="greaterThan">
      <formula>$I$44</formula>
    </cfRule>
  </conditionalFormatting>
  <conditionalFormatting sqref="G44">
    <cfRule type="cellIs" dxfId="55" priority="111" operator="greaterThan">
      <formula>$J$44</formula>
    </cfRule>
  </conditionalFormatting>
  <conditionalFormatting sqref="F45">
    <cfRule type="cellIs" dxfId="54" priority="110" operator="greaterThan">
      <formula>$I$45</formula>
    </cfRule>
  </conditionalFormatting>
  <conditionalFormatting sqref="G45">
    <cfRule type="cellIs" dxfId="53" priority="109" operator="greaterThan">
      <formula>$J$45</formula>
    </cfRule>
  </conditionalFormatting>
  <conditionalFormatting sqref="F46">
    <cfRule type="cellIs" dxfId="52" priority="108" operator="greaterThan">
      <formula>$I$46</formula>
    </cfRule>
  </conditionalFormatting>
  <conditionalFormatting sqref="G46">
    <cfRule type="cellIs" dxfId="51" priority="107" operator="greaterThan">
      <formula>$J$46</formula>
    </cfRule>
  </conditionalFormatting>
  <conditionalFormatting sqref="F48">
    <cfRule type="cellIs" dxfId="50" priority="106" operator="greaterThan">
      <formula>$I$48</formula>
    </cfRule>
  </conditionalFormatting>
  <conditionalFormatting sqref="G48">
    <cfRule type="cellIs" dxfId="49" priority="105" operator="greaterThan">
      <formula>$J$48</formula>
    </cfRule>
  </conditionalFormatting>
  <conditionalFormatting sqref="F41">
    <cfRule type="cellIs" dxfId="48" priority="104" operator="greaterThan">
      <formula>$I$41</formula>
    </cfRule>
  </conditionalFormatting>
  <conditionalFormatting sqref="G41">
    <cfRule type="cellIs" dxfId="47" priority="103" operator="greaterThan">
      <formula>$J$41</formula>
    </cfRule>
  </conditionalFormatting>
  <conditionalFormatting sqref="F42">
    <cfRule type="cellIs" dxfId="46" priority="102" operator="greaterThan">
      <formula>$I$42</formula>
    </cfRule>
  </conditionalFormatting>
  <conditionalFormatting sqref="G42">
    <cfRule type="cellIs" dxfId="45" priority="101" operator="greaterThan">
      <formula>$J$42</formula>
    </cfRule>
  </conditionalFormatting>
  <conditionalFormatting sqref="G141">
    <cfRule type="cellIs" dxfId="44" priority="89" operator="greaterThan">
      <formula>$D$141</formula>
    </cfRule>
  </conditionalFormatting>
  <conditionalFormatting sqref="H176">
    <cfRule type="cellIs" dxfId="43" priority="81" operator="greaterThan">
      <formula>$D$176</formula>
    </cfRule>
  </conditionalFormatting>
  <conditionalFormatting sqref="H177">
    <cfRule type="cellIs" dxfId="42" priority="80" operator="greaterThan">
      <formula>$D$177</formula>
    </cfRule>
  </conditionalFormatting>
  <conditionalFormatting sqref="H181:H184">
    <cfRule type="expression" dxfId="41" priority="79">
      <formula>SUM($H$181:$I$184)&gt;$D$181</formula>
    </cfRule>
  </conditionalFormatting>
  <conditionalFormatting sqref="G208">
    <cfRule type="cellIs" dxfId="40" priority="78" operator="greaterThan">
      <formula>$B$208</formula>
    </cfRule>
  </conditionalFormatting>
  <conditionalFormatting sqref="G218">
    <cfRule type="cellIs" dxfId="39" priority="77" operator="greaterThan">
      <formula>$A$218</formula>
    </cfRule>
  </conditionalFormatting>
  <conditionalFormatting sqref="H223">
    <cfRule type="cellIs" dxfId="38" priority="76" operator="notEqual">
      <formula>$H$222</formula>
    </cfRule>
  </conditionalFormatting>
  <conditionalFormatting sqref="G254:H254">
    <cfRule type="cellIs" dxfId="37" priority="74" operator="greaterThan">
      <formula>$E$254</formula>
    </cfRule>
    <cfRule type="cellIs" dxfId="36" priority="75" operator="greaterThan">
      <formula>120000</formula>
    </cfRule>
  </conditionalFormatting>
  <conditionalFormatting sqref="C254:D254">
    <cfRule type="expression" dxfId="35" priority="72">
      <formula>SUM($B$254:$D$254)&gt;$B$140</formula>
    </cfRule>
    <cfRule type="expression" dxfId="34" priority="73">
      <formula>SUM($B$254:$D$254)&gt;2</formula>
    </cfRule>
  </conditionalFormatting>
  <conditionalFormatting sqref="G255:H255">
    <cfRule type="cellIs" dxfId="33" priority="70" operator="greaterThan">
      <formula>$E$255</formula>
    </cfRule>
  </conditionalFormatting>
  <conditionalFormatting sqref="G256:H256">
    <cfRule type="cellIs" dxfId="32" priority="69" operator="greaterThan">
      <formula>$E$256</formula>
    </cfRule>
  </conditionalFormatting>
  <conditionalFormatting sqref="C257:D257">
    <cfRule type="expression" dxfId="31" priority="68">
      <formula>SUM($B$257+$C$257)&gt;1</formula>
    </cfRule>
  </conditionalFormatting>
  <conditionalFormatting sqref="G257:H257">
    <cfRule type="cellIs" dxfId="30" priority="67" operator="greaterThan">
      <formula>$E$257</formula>
    </cfRule>
  </conditionalFormatting>
  <conditionalFormatting sqref="C258:D258">
    <cfRule type="expression" dxfId="29" priority="66">
      <formula>SUM($B$258+$C$258)&gt;1</formula>
    </cfRule>
  </conditionalFormatting>
  <conditionalFormatting sqref="G258:H258">
    <cfRule type="cellIs" dxfId="28" priority="65" operator="greaterThan">
      <formula>$E$258</formula>
    </cfRule>
  </conditionalFormatting>
  <conditionalFormatting sqref="B259:D259">
    <cfRule type="expression" dxfId="27" priority="64">
      <formula>SUM($B$259+$C$259)&gt;1</formula>
    </cfRule>
  </conditionalFormatting>
  <conditionalFormatting sqref="G259:H259">
    <cfRule type="cellIs" dxfId="26" priority="63" operator="greaterThan">
      <formula>$E$259</formula>
    </cfRule>
  </conditionalFormatting>
  <conditionalFormatting sqref="C260:D260">
    <cfRule type="expression" dxfId="25" priority="62">
      <formula>SUM($B$260+$C$260)&gt;1</formula>
    </cfRule>
  </conditionalFormatting>
  <conditionalFormatting sqref="G260:H260">
    <cfRule type="cellIs" dxfId="24" priority="61" operator="greaterThan">
      <formula>$E$260</formula>
    </cfRule>
  </conditionalFormatting>
  <conditionalFormatting sqref="C261:D261">
    <cfRule type="expression" dxfId="23" priority="60">
      <formula>SUM($B$261+$C$261)&gt;1</formula>
    </cfRule>
  </conditionalFormatting>
  <conditionalFormatting sqref="G261:H261">
    <cfRule type="cellIs" dxfId="22" priority="59" operator="greaterThan">
      <formula>$E$261</formula>
    </cfRule>
  </conditionalFormatting>
  <conditionalFormatting sqref="C256:D256">
    <cfRule type="expression" dxfId="21" priority="58">
      <formula>SUM($B$256+$C$256)&gt;$H$26</formula>
    </cfRule>
  </conditionalFormatting>
  <conditionalFormatting sqref="C255:D255">
    <cfRule type="expression" dxfId="20" priority="57">
      <formula>SUM($B$255+$C$255)&gt;$H$27</formula>
    </cfRule>
  </conditionalFormatting>
  <conditionalFormatting sqref="C263:D263">
    <cfRule type="expression" dxfId="19" priority="56">
      <formula>SUM($B$263+$C$263)&gt;$B$129</formula>
    </cfRule>
  </conditionalFormatting>
  <conditionalFormatting sqref="G263:H263 G265:H266">
    <cfRule type="cellIs" dxfId="18" priority="55" operator="greaterThan">
      <formula>$E$263</formula>
    </cfRule>
  </conditionalFormatting>
  <conditionalFormatting sqref="G200:G205">
    <cfRule type="expression" dxfId="17" priority="54">
      <formula>SUM($G$200:$I$205)&gt;$B$200</formula>
    </cfRule>
  </conditionalFormatting>
  <conditionalFormatting sqref="G206">
    <cfRule type="cellIs" dxfId="16" priority="53" operator="greaterThan">
      <formula>$B$206</formula>
    </cfRule>
  </conditionalFormatting>
  <conditionalFormatting sqref="G207">
    <cfRule type="cellIs" dxfId="15" priority="52" operator="greaterThan">
      <formula>$B$207</formula>
    </cfRule>
  </conditionalFormatting>
  <conditionalFormatting sqref="H194">
    <cfRule type="cellIs" dxfId="14" priority="51" operator="greaterThan">
      <formula>$D$194</formula>
    </cfRule>
  </conditionalFormatting>
  <conditionalFormatting sqref="E43">
    <cfRule type="expression" dxfId="13" priority="50">
      <formula>SUM($D$43:$E$43)&gt;1</formula>
    </cfRule>
  </conditionalFormatting>
  <conditionalFormatting sqref="I43">
    <cfRule type="expression" dxfId="12" priority="49">
      <formula>SUM($D$43:$E$43)&gt;1</formula>
    </cfRule>
  </conditionalFormatting>
  <conditionalFormatting sqref="D45">
    <cfRule type="cellIs" dxfId="11" priority="48" operator="greaterThan">
      <formula>$H$24</formula>
    </cfRule>
  </conditionalFormatting>
  <conditionalFormatting sqref="C141">
    <cfRule type="expression" dxfId="10" priority="46">
      <formula>SUM($C$141,$C$128)&gt;$B$128</formula>
    </cfRule>
  </conditionalFormatting>
  <conditionalFormatting sqref="C140">
    <cfRule type="expression" dxfId="9" priority="45">
      <formula>SUM($C$127,$C$140)&gt;$B$127</formula>
    </cfRule>
  </conditionalFormatting>
  <conditionalFormatting sqref="C259:D259">
    <cfRule type="cellIs" dxfId="8" priority="40" operator="greaterThan">
      <formula>$G$1048526</formula>
    </cfRule>
  </conditionalFormatting>
  <conditionalFormatting sqref="C263:D263">
    <cfRule type="expression" dxfId="7" priority="39">
      <formula>SUM($D$44:$E$44)&gt;$C$263</formula>
    </cfRule>
  </conditionalFormatting>
  <conditionalFormatting sqref="F47">
    <cfRule type="cellIs" dxfId="6" priority="37" operator="greaterThan">
      <formula>$I$48</formula>
    </cfRule>
  </conditionalFormatting>
  <conditionalFormatting sqref="G47">
    <cfRule type="cellIs" dxfId="5" priority="36" operator="greaterThan">
      <formula>$J$48</formula>
    </cfRule>
  </conditionalFormatting>
  <conditionalFormatting sqref="G149">
    <cfRule type="cellIs" dxfId="4" priority="141" operator="greaterThan">
      <formula>$B$149</formula>
    </cfRule>
  </conditionalFormatting>
  <conditionalFormatting sqref="G152">
    <cfRule type="cellIs" dxfId="3" priority="142" operator="greaterThan">
      <formula>$B$152</formula>
    </cfRule>
  </conditionalFormatting>
  <conditionalFormatting sqref="I99">
    <cfRule type="cellIs" dxfId="2" priority="28" operator="notEqual">
      <formula>$H$81</formula>
    </cfRule>
  </conditionalFormatting>
  <conditionalFormatting sqref="H81">
    <cfRule type="cellIs" dxfId="1" priority="143" operator="greaterThan">
      <formula>$G$81</formula>
    </cfRule>
  </conditionalFormatting>
  <dataValidations xWindow="573" yWindow="580" count="22">
    <dataValidation type="list" allowBlank="1" showInputMessage="1" showErrorMessage="1" sqref="B6">
      <formula1>"Tribal,Urban,Rural"</formula1>
    </dataValidation>
    <dataValidation allowBlank="1" showInputMessage="1" showErrorMessage="1" promptTitle="Norms" prompt="@ 15% of the equipment cost" sqref="D191"/>
    <dataValidation type="whole" operator="greaterThan" allowBlank="1" showInputMessage="1" showErrorMessage="1" promptTitle="Norms" prompt="Salary for each position will be at par with state NRHM. For those positions who are not par with NRHM ;state may propose salary for those positions" sqref="B150 C168:D170 C172:D174">
      <formula1>0</formula1>
    </dataValidation>
    <dataValidation allowBlank="1" showInputMessage="1" showErrorMessage="1" promptTitle="Norms" prompt="Salary for each position will be at par with state NRHM. For those positions who are not par with NRHM ;state may propose salary for those positions" sqref="B151"/>
    <dataValidation type="list" allowBlank="1" showInputMessage="1" showErrorMessage="1" sqref="B40:B42">
      <formula1>"None,Solid,Liquid,LPA,Solid+LPA,Solid+Liquid+LPA,Solid+Liquid,Liquid+LPA"</formula1>
    </dataValidation>
    <dataValidation type="textLength" operator="greaterThanOrEqual" allowBlank="1" showInputMessage="1" showErrorMessage="1" sqref="H4:I4">
      <formula1>3</formula1>
    </dataValidation>
    <dataValidation type="whole" operator="lessThanOrEqual" allowBlank="1" showInputMessage="1" showErrorMessage="1" sqref="E37">
      <formula1>1</formula1>
    </dataValidation>
    <dataValidation type="whole" operator="greaterThanOrEqual" allowBlank="1" showInputMessage="1" showErrorMessage="1" sqref="E38:E48 D37:D48 F37:G48 H22:H28 D54:H56 I21:K28 Q18:U20 Q23:U28 E193:H194 D323:H332 E62:H67 F72:I75 B81:E81 H81 B86:I98 E104:H116 C104:C116 B122:H122 B127:H134 C149:H152 I157:K161 C176:H179 B181:C184 E181:H184 E186:H187 A218:H218 C200:H207 C229:H232 B239:H243 B250:H266 C44:C45 C272:H277">
      <formula1>0</formula1>
    </dataValidation>
    <dataValidation type="whole" allowBlank="1" showInputMessage="1" showErrorMessage="1" sqref="H18:I19 Q21:U22">
      <formula1>0</formula1>
      <formula2>100</formula2>
    </dataValidation>
    <dataValidation type="decimal" allowBlank="1" showInputMessage="1" showErrorMessage="1" sqref="H12:I13 H16:I17">
      <formula1>0</formula1>
      <formula2>150</formula2>
    </dataValidation>
    <dataValidation type="decimal" allowBlank="1" showInputMessage="1" showErrorMessage="1" error="Population in lakhs only" prompt="Population in lakh" sqref="H9:I9">
      <formula1>1</formula1>
      <formula2>1500</formula2>
    </dataValidation>
    <dataValidation type="list" allowBlank="1" showInputMessage="1" showErrorMessage="1" sqref="H21 H222:H223">
      <formula1>"Yes,No"</formula1>
    </dataValidation>
    <dataValidation type="list" allowBlank="1" showInputMessage="1" showErrorMessage="1" sqref="D4">
      <formula1>"1,1.3"</formula1>
    </dataValidation>
    <dataValidation type="list" allowBlank="1" showInputMessage="1" showErrorMessage="1" sqref="B5">
      <formula1>"Tribal/Hilly,Urban,Rural"</formula1>
    </dataValidation>
    <dataValidation allowBlank="1" showInputMessage="1" showErrorMessage="1" prompt="Mention urban population in cells below as relevant" sqref="H11:I11"/>
    <dataValidation type="decimal" allowBlank="1" showInputMessage="1" showErrorMessage="1" prompt="Mention tribal population._x000a_If population is tribal as well as hilly, mention it in tribal population only." sqref="H15:I15">
      <formula1>0</formula1>
      <formula2>150</formula2>
    </dataValidation>
    <dataValidation type="whole" operator="greaterThanOrEqual" allowBlank="1" showInputMessage="1" showErrorMessage="1" prompt="In case district do not have exact distribution of Cat I &amp; II patients with non-salaried dot provider, then 80% may be taken as Cat I and 20% as Cat II for calculation purpose." sqref="D62:D67">
      <formula1>0</formula1>
    </dataValidation>
    <dataValidation type="whole" operator="greaterThanOrEqual" allowBlank="1" showInputMessage="1" showErrorMessage="1" prompt="15% of cost" sqref="D110:D111 D113:D116">
      <formula1>0</formula1>
    </dataValidation>
    <dataValidation type="whole" operator="greaterThan" allowBlank="1" showInputMessage="1" showErrorMessage="1" promptTitle="Norms" sqref="E168:H170">
      <formula1>0</formula1>
    </dataValidation>
    <dataValidation type="whole" operator="greaterThan" allowBlank="1" showInputMessage="1" showErrorMessage="1" sqref="E172:H174">
      <formula1>0</formula1>
    </dataValidation>
    <dataValidation type="whole" operator="greaterThanOrEqual" allowBlank="1" showInputMessage="1" showErrorMessage="1" promptTitle="Norms" prompt="Travel costs and per diems for participation in STF/ZTF/NTF, for attending the trainings, participation in meetings and internal / central level evaluations / appraisals will be borne under this head. TA/DA norms as per the training head" sqref="E189">
      <formula1>0</formula1>
    </dataValidation>
    <dataValidation type="whole" operator="greaterThanOrEqual" allowBlank="1" showInputMessage="1" showErrorMessage="1" promptTitle="Norms" sqref="F189:H189 E191:H191">
      <formula1>0</formula1>
    </dataValidation>
  </dataValidations>
  <pageMargins left="0.7" right="0.7" top="0.75" bottom="0.75" header="0.3" footer="0.3"/>
  <pageSetup paperSize="9" scale="43" fitToHeight="0" orientation="landscape" r:id="rId1"/>
  <headerFooter>
    <oddFooter>&amp;L&amp;F&amp;C&amp;P</oddFooter>
  </headerFooter>
  <rowBreaks count="12" manualBreakCount="12">
    <brk id="30" max="16383" man="1"/>
    <brk id="58" max="16383" man="1"/>
    <brk id="77" max="16383" man="1"/>
    <brk id="118" max="20" man="1"/>
    <brk id="145" max="16383" man="1"/>
    <brk id="153" max="20" man="1"/>
    <brk id="196" max="16383" man="1"/>
    <brk id="245" max="20" man="1"/>
    <brk id="268" max="20" man="1"/>
    <brk id="290" max="20" man="1"/>
    <brk id="318" max="20" man="1"/>
    <brk id="335" max="20" man="1"/>
  </rowBreaks>
  <extLst>
    <ext xmlns:x14="http://schemas.microsoft.com/office/spreadsheetml/2009/9/main" uri="{CCE6A557-97BC-4b89-ADB6-D9C93CAAB3DF}">
      <x14:dataValidations xmlns:xm="http://schemas.microsoft.com/office/excel/2006/main" xWindow="573" yWindow="580" count="1">
        <x14:dataValidation type="list" operator="greaterThanOrEqual" allowBlank="1" showInputMessage="1" showErrorMessage="1">
          <x14:formula1>
            <xm:f>List!$B$1:$B$35</xm:f>
          </x14:formula1>
          <xm:sqref>B4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4"/>
  <sheetViews>
    <sheetView view="pageBreakPreview" topLeftCell="A4" zoomScale="60" zoomScaleNormal="100" workbookViewId="0">
      <selection activeCell="C40" sqref="C40"/>
    </sheetView>
  </sheetViews>
  <sheetFormatPr defaultRowHeight="15" x14ac:dyDescent="0.25"/>
  <cols>
    <col min="1" max="1" width="6.28515625" customWidth="1"/>
    <col min="2" max="2" width="38.5703125" customWidth="1"/>
    <col min="3" max="3" width="97.42578125" customWidth="1"/>
  </cols>
  <sheetData>
    <row r="1" spans="1:3" ht="15.75" x14ac:dyDescent="0.25">
      <c r="A1" s="464" t="s">
        <v>740</v>
      </c>
    </row>
    <row r="2" spans="1:3" ht="15.75" thickBot="1" x14ac:dyDescent="0.3"/>
    <row r="3" spans="1:3" ht="32.25" thickBot="1" x14ac:dyDescent="0.3">
      <c r="A3" s="835" t="s">
        <v>722</v>
      </c>
      <c r="B3" s="836" t="s">
        <v>723</v>
      </c>
      <c r="C3" s="837" t="s">
        <v>724</v>
      </c>
    </row>
    <row r="4" spans="1:3" ht="16.5" thickBot="1" x14ac:dyDescent="0.3">
      <c r="A4" s="1987">
        <v>1</v>
      </c>
      <c r="B4" s="1990"/>
      <c r="C4" s="463" t="s">
        <v>725</v>
      </c>
    </row>
    <row r="5" spans="1:3" x14ac:dyDescent="0.25">
      <c r="A5" s="1988"/>
      <c r="B5" s="1991"/>
      <c r="C5" s="1993" t="s">
        <v>726</v>
      </c>
    </row>
    <row r="6" spans="1:3" ht="15.75" thickBot="1" x14ac:dyDescent="0.3">
      <c r="A6" s="1988"/>
      <c r="B6" s="1991"/>
      <c r="C6" s="1994"/>
    </row>
    <row r="7" spans="1:3" x14ac:dyDescent="0.25">
      <c r="A7" s="1988"/>
      <c r="B7" s="1991"/>
      <c r="C7" s="1993" t="s">
        <v>727</v>
      </c>
    </row>
    <row r="8" spans="1:3" ht="15.75" thickBot="1" x14ac:dyDescent="0.3">
      <c r="A8" s="1989"/>
      <c r="B8" s="1992"/>
      <c r="C8" s="1994"/>
    </row>
    <row r="9" spans="1:3" x14ac:dyDescent="0.25">
      <c r="A9" s="1987">
        <v>2</v>
      </c>
      <c r="B9" s="1990"/>
      <c r="C9" s="1993" t="s">
        <v>728</v>
      </c>
    </row>
    <row r="10" spans="1:3" ht="15.75" thickBot="1" x14ac:dyDescent="0.3">
      <c r="A10" s="1988"/>
      <c r="B10" s="1991"/>
      <c r="C10" s="1994"/>
    </row>
    <row r="11" spans="1:3" x14ac:dyDescent="0.25">
      <c r="A11" s="1988"/>
      <c r="B11" s="1991"/>
      <c r="C11" s="1993" t="s">
        <v>729</v>
      </c>
    </row>
    <row r="12" spans="1:3" ht="15.75" thickBot="1" x14ac:dyDescent="0.3">
      <c r="A12" s="1988"/>
      <c r="B12" s="1991"/>
      <c r="C12" s="1994"/>
    </row>
    <row r="13" spans="1:3" ht="16.5" thickBot="1" x14ac:dyDescent="0.3">
      <c r="A13" s="1989"/>
      <c r="B13" s="1992"/>
      <c r="C13" s="463" t="s">
        <v>730</v>
      </c>
    </row>
    <row r="14" spans="1:3" x14ac:dyDescent="0.25">
      <c r="A14" s="1987">
        <v>3</v>
      </c>
      <c r="B14" s="1990"/>
      <c r="C14" s="1993" t="s">
        <v>731</v>
      </c>
    </row>
    <row r="15" spans="1:3" ht="15.75" thickBot="1" x14ac:dyDescent="0.3">
      <c r="A15" s="1988"/>
      <c r="B15" s="1991"/>
      <c r="C15" s="1994"/>
    </row>
    <row r="16" spans="1:3" x14ac:dyDescent="0.25">
      <c r="A16" s="1988"/>
      <c r="B16" s="1991"/>
      <c r="C16" s="1993" t="s">
        <v>732</v>
      </c>
    </row>
    <row r="17" spans="1:3" ht="15.75" thickBot="1" x14ac:dyDescent="0.3">
      <c r="A17" s="1988"/>
      <c r="B17" s="1991"/>
      <c r="C17" s="1994"/>
    </row>
    <row r="18" spans="1:3" ht="16.5" thickBot="1" x14ac:dyDescent="0.3">
      <c r="A18" s="1989"/>
      <c r="B18" s="1992"/>
      <c r="C18" s="463" t="s">
        <v>733</v>
      </c>
    </row>
    <row r="19" spans="1:3" x14ac:dyDescent="0.25">
      <c r="A19" s="1987">
        <v>4</v>
      </c>
      <c r="B19" s="1990"/>
      <c r="C19" s="1993" t="s">
        <v>734</v>
      </c>
    </row>
    <row r="20" spans="1:3" ht="15.75" thickBot="1" x14ac:dyDescent="0.3">
      <c r="A20" s="1988"/>
      <c r="B20" s="1991"/>
      <c r="C20" s="1994"/>
    </row>
    <row r="21" spans="1:3" x14ac:dyDescent="0.25">
      <c r="A21" s="1988"/>
      <c r="B21" s="1991"/>
      <c r="C21" s="1993" t="s">
        <v>735</v>
      </c>
    </row>
    <row r="22" spans="1:3" ht="15.75" thickBot="1" x14ac:dyDescent="0.3">
      <c r="A22" s="1988"/>
      <c r="B22" s="1991"/>
      <c r="C22" s="1994"/>
    </row>
    <row r="23" spans="1:3" x14ac:dyDescent="0.25">
      <c r="A23" s="1988"/>
      <c r="B23" s="1991"/>
      <c r="C23" s="1993" t="s">
        <v>736</v>
      </c>
    </row>
    <row r="24" spans="1:3" ht="15.75" thickBot="1" x14ac:dyDescent="0.3">
      <c r="A24" s="1989"/>
      <c r="B24" s="1992"/>
      <c r="C24" s="1994"/>
    </row>
    <row r="25" spans="1:3" x14ac:dyDescent="0.25">
      <c r="A25" s="1987">
        <v>5</v>
      </c>
      <c r="B25" s="1990"/>
      <c r="C25" s="1993" t="s">
        <v>737</v>
      </c>
    </row>
    <row r="26" spans="1:3" ht="15.75" thickBot="1" x14ac:dyDescent="0.3">
      <c r="A26" s="1988"/>
      <c r="B26" s="1991"/>
      <c r="C26" s="1994"/>
    </row>
    <row r="27" spans="1:3" x14ac:dyDescent="0.25">
      <c r="A27" s="1988"/>
      <c r="B27" s="1991"/>
      <c r="C27" s="1993" t="s">
        <v>738</v>
      </c>
    </row>
    <row r="28" spans="1:3" ht="15.75" thickBot="1" x14ac:dyDescent="0.3">
      <c r="A28" s="1988"/>
      <c r="B28" s="1991"/>
      <c r="C28" s="1994"/>
    </row>
    <row r="29" spans="1:3" ht="16.5" thickBot="1" x14ac:dyDescent="0.3">
      <c r="A29" s="1989"/>
      <c r="B29" s="1992"/>
      <c r="C29" s="463" t="s">
        <v>739</v>
      </c>
    </row>
    <row r="30" spans="1:3" ht="18" x14ac:dyDescent="0.25">
      <c r="C30" s="465" t="s">
        <v>741</v>
      </c>
    </row>
    <row r="32" spans="1:3" ht="15.75" hidden="1" x14ac:dyDescent="0.25">
      <c r="A32" s="1997" t="s">
        <v>744</v>
      </c>
      <c r="B32" s="1997"/>
      <c r="C32" s="1997"/>
    </row>
    <row r="33" spans="1:3" ht="15.75" thickBot="1" x14ac:dyDescent="0.3"/>
    <row r="34" spans="1:3" x14ac:dyDescent="0.25">
      <c r="A34" s="1995" t="s">
        <v>742</v>
      </c>
      <c r="B34" s="1995" t="s">
        <v>908</v>
      </c>
      <c r="C34" s="1995" t="s">
        <v>743</v>
      </c>
    </row>
    <row r="35" spans="1:3" ht="15.75" thickBot="1" x14ac:dyDescent="0.3">
      <c r="A35" s="1996"/>
      <c r="B35" s="1996"/>
      <c r="C35" s="1996"/>
    </row>
    <row r="36" spans="1:3" ht="16.5" thickBot="1" x14ac:dyDescent="0.3">
      <c r="A36" s="466"/>
      <c r="B36" s="467"/>
      <c r="C36" s="467"/>
    </row>
    <row r="37" spans="1:3" ht="16.5" thickBot="1" x14ac:dyDescent="0.3">
      <c r="A37" s="466"/>
      <c r="B37" s="467"/>
      <c r="C37" s="467"/>
    </row>
    <row r="38" spans="1:3" ht="16.5" thickBot="1" x14ac:dyDescent="0.3">
      <c r="A38" s="466"/>
      <c r="B38" s="467"/>
      <c r="C38" s="467"/>
    </row>
    <row r="39" spans="1:3" ht="16.5" thickBot="1" x14ac:dyDescent="0.3">
      <c r="A39" s="466"/>
      <c r="B39" s="467"/>
      <c r="C39" s="467"/>
    </row>
    <row r="40" spans="1:3" ht="16.5" thickBot="1" x14ac:dyDescent="0.3">
      <c r="A40" s="466"/>
      <c r="B40" s="467"/>
      <c r="C40" s="467"/>
    </row>
    <row r="41" spans="1:3" ht="16.5" thickBot="1" x14ac:dyDescent="0.3">
      <c r="A41" s="466"/>
      <c r="B41" s="467"/>
      <c r="C41" s="467"/>
    </row>
    <row r="42" spans="1:3" ht="16.5" thickBot="1" x14ac:dyDescent="0.3">
      <c r="A42" s="466"/>
      <c r="B42" s="467"/>
      <c r="C42" s="467"/>
    </row>
    <row r="43" spans="1:3" ht="16.5" thickBot="1" x14ac:dyDescent="0.3">
      <c r="A43" s="466"/>
      <c r="B43" s="467"/>
      <c r="C43" s="467"/>
    </row>
    <row r="44" spans="1:3" ht="16.5" thickBot="1" x14ac:dyDescent="0.3">
      <c r="A44" s="466"/>
      <c r="B44" s="467"/>
      <c r="C44" s="467"/>
    </row>
  </sheetData>
  <mergeCells count="25">
    <mergeCell ref="A4:A8"/>
    <mergeCell ref="B4:B8"/>
    <mergeCell ref="C5:C6"/>
    <mergeCell ref="C7:C8"/>
    <mergeCell ref="A9:A13"/>
    <mergeCell ref="B9:B13"/>
    <mergeCell ref="C9:C10"/>
    <mergeCell ref="C11:C12"/>
    <mergeCell ref="A14:A18"/>
    <mergeCell ref="B14:B18"/>
    <mergeCell ref="C14:C15"/>
    <mergeCell ref="C16:C17"/>
    <mergeCell ref="A19:A24"/>
    <mergeCell ref="B19:B24"/>
    <mergeCell ref="C19:C20"/>
    <mergeCell ref="C21:C22"/>
    <mergeCell ref="C23:C24"/>
    <mergeCell ref="A25:A29"/>
    <mergeCell ref="B25:B29"/>
    <mergeCell ref="C25:C26"/>
    <mergeCell ref="C27:C28"/>
    <mergeCell ref="A34:A35"/>
    <mergeCell ref="B34:B35"/>
    <mergeCell ref="C34:C35"/>
    <mergeCell ref="A32:C32"/>
  </mergeCells>
  <pageMargins left="0.7" right="0.7" top="0.75" bottom="0.75" header="0.3" footer="0.3"/>
  <pageSetup scale="86" orientation="landscape" r:id="rId1"/>
  <rowBreaks count="1" manualBreakCount="1">
    <brk id="31"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5"/>
  <sheetViews>
    <sheetView topLeftCell="J1" zoomScaleNormal="100" workbookViewId="0">
      <selection activeCell="M5" sqref="M5"/>
    </sheetView>
  </sheetViews>
  <sheetFormatPr defaultRowHeight="15" x14ac:dyDescent="0.25"/>
  <cols>
    <col min="2" max="2" width="16.140625" customWidth="1"/>
    <col min="3" max="3" width="13.140625" customWidth="1"/>
    <col min="22" max="22" width="11.140625" customWidth="1"/>
    <col min="23" max="23" width="10.28515625" customWidth="1"/>
    <col min="26" max="26" width="14.28515625" customWidth="1"/>
    <col min="27" max="27" width="11.5703125" customWidth="1"/>
    <col min="28" max="28" width="10.5703125" customWidth="1"/>
  </cols>
  <sheetData>
    <row r="1" spans="1:28" ht="21.75" thickBot="1" x14ac:dyDescent="0.4">
      <c r="A1" s="1998" t="s">
        <v>759</v>
      </c>
      <c r="B1" s="1998"/>
      <c r="C1" s="1998"/>
      <c r="D1" s="1998"/>
      <c r="E1" s="1998"/>
      <c r="F1" s="1998"/>
      <c r="G1" s="1998"/>
      <c r="H1" s="1998"/>
      <c r="J1" s="1999" t="s">
        <v>760</v>
      </c>
      <c r="K1" s="1999"/>
      <c r="L1" s="1999"/>
    </row>
    <row r="2" spans="1:28" ht="21" customHeight="1" x14ac:dyDescent="0.25">
      <c r="A2" s="2008" t="s">
        <v>701</v>
      </c>
      <c r="B2" s="2009"/>
      <c r="C2" s="2009"/>
      <c r="D2" s="2009"/>
      <c r="E2" s="2009"/>
      <c r="F2" s="2009"/>
      <c r="G2" s="2009"/>
      <c r="H2" s="2010"/>
      <c r="I2" s="2011" t="s">
        <v>702</v>
      </c>
      <c r="J2" s="2012"/>
      <c r="K2" s="2012"/>
      <c r="L2" s="2012"/>
      <c r="M2" s="2012"/>
      <c r="N2" s="2012"/>
      <c r="O2" s="2012"/>
      <c r="P2" s="2012"/>
      <c r="Q2" s="2012"/>
      <c r="R2" s="2013"/>
      <c r="S2" s="2014" t="s">
        <v>721</v>
      </c>
      <c r="T2" s="2015"/>
      <c r="U2" s="2015"/>
      <c r="V2" s="2015"/>
      <c r="W2" s="2015"/>
      <c r="X2" s="2015"/>
      <c r="Y2" s="2015"/>
      <c r="Z2" s="2015"/>
      <c r="AA2" s="2015"/>
      <c r="AB2" s="2016"/>
    </row>
    <row r="3" spans="1:28" ht="29.25" customHeight="1" x14ac:dyDescent="0.25">
      <c r="A3" s="2006" t="s">
        <v>232</v>
      </c>
      <c r="B3" s="2004" t="s">
        <v>692</v>
      </c>
      <c r="C3" s="2004" t="s">
        <v>693</v>
      </c>
      <c r="D3" s="2004" t="s">
        <v>694</v>
      </c>
      <c r="E3" s="2004"/>
      <c r="F3" s="2004" t="s">
        <v>695</v>
      </c>
      <c r="G3" s="2004"/>
      <c r="H3" s="2000"/>
      <c r="I3" s="2002" t="s">
        <v>703</v>
      </c>
      <c r="J3" s="2004" t="s">
        <v>704</v>
      </c>
      <c r="K3" s="2004" t="s">
        <v>705</v>
      </c>
      <c r="L3" s="2004" t="s">
        <v>706</v>
      </c>
      <c r="M3" s="2004" t="s">
        <v>707</v>
      </c>
      <c r="N3" s="2004"/>
      <c r="O3" s="2004" t="s">
        <v>708</v>
      </c>
      <c r="P3" s="2004"/>
      <c r="Q3" s="2004"/>
      <c r="R3" s="2017" t="s">
        <v>709</v>
      </c>
      <c r="S3" s="2006" t="s">
        <v>710</v>
      </c>
      <c r="T3" s="2004" t="s">
        <v>711</v>
      </c>
      <c r="U3" s="2004" t="s">
        <v>712</v>
      </c>
      <c r="V3" s="2004" t="s">
        <v>713</v>
      </c>
      <c r="W3" s="2004" t="s">
        <v>714</v>
      </c>
      <c r="X3" s="2004" t="s">
        <v>715</v>
      </c>
      <c r="Y3" s="2004"/>
      <c r="Z3" s="2004" t="s">
        <v>716</v>
      </c>
      <c r="AA3" s="2004" t="s">
        <v>717</v>
      </c>
      <c r="AB3" s="2000" t="s">
        <v>718</v>
      </c>
    </row>
    <row r="4" spans="1:28" ht="33.75" customHeight="1" x14ac:dyDescent="0.25">
      <c r="A4" s="2006"/>
      <c r="B4" s="2004"/>
      <c r="C4" s="2004"/>
      <c r="D4" s="2004"/>
      <c r="E4" s="2004"/>
      <c r="F4" s="2004"/>
      <c r="G4" s="2004"/>
      <c r="H4" s="2000"/>
      <c r="I4" s="2002"/>
      <c r="J4" s="2004"/>
      <c r="K4" s="2004"/>
      <c r="L4" s="2004"/>
      <c r="M4" s="2004"/>
      <c r="N4" s="2004"/>
      <c r="O4" s="2004"/>
      <c r="P4" s="2004"/>
      <c r="Q4" s="2004"/>
      <c r="R4" s="2017"/>
      <c r="S4" s="2006"/>
      <c r="T4" s="2004"/>
      <c r="U4" s="2004"/>
      <c r="V4" s="2004"/>
      <c r="W4" s="2004"/>
      <c r="X4" s="2004" t="s">
        <v>719</v>
      </c>
      <c r="Y4" s="2004" t="s">
        <v>720</v>
      </c>
      <c r="Z4" s="2004"/>
      <c r="AA4" s="2004"/>
      <c r="AB4" s="2000"/>
    </row>
    <row r="5" spans="1:28" ht="32.25" customHeight="1" thickBot="1" x14ac:dyDescent="0.3">
      <c r="A5" s="2007"/>
      <c r="B5" s="2005"/>
      <c r="C5" s="2005"/>
      <c r="D5" s="841" t="s">
        <v>696</v>
      </c>
      <c r="E5" s="841" t="s">
        <v>697</v>
      </c>
      <c r="F5" s="841" t="s">
        <v>698</v>
      </c>
      <c r="G5" s="841" t="s">
        <v>697</v>
      </c>
      <c r="H5" s="844" t="s">
        <v>699</v>
      </c>
      <c r="I5" s="2003"/>
      <c r="J5" s="2005"/>
      <c r="K5" s="2005"/>
      <c r="L5" s="2005"/>
      <c r="M5" s="841" t="s">
        <v>696</v>
      </c>
      <c r="N5" s="841" t="s">
        <v>697</v>
      </c>
      <c r="O5" s="841" t="s">
        <v>698</v>
      </c>
      <c r="P5" s="841" t="s">
        <v>697</v>
      </c>
      <c r="Q5" s="841" t="s">
        <v>699</v>
      </c>
      <c r="R5" s="2018"/>
      <c r="S5" s="2007"/>
      <c r="T5" s="2005"/>
      <c r="U5" s="2005"/>
      <c r="V5" s="2005"/>
      <c r="W5" s="2005"/>
      <c r="X5" s="2005"/>
      <c r="Y5" s="2005"/>
      <c r="Z5" s="2005"/>
      <c r="AA5" s="2005"/>
      <c r="AB5" s="2001"/>
    </row>
    <row r="6" spans="1:28" ht="15.75" customHeight="1" x14ac:dyDescent="0.25">
      <c r="A6" s="845">
        <v>1</v>
      </c>
      <c r="B6" s="839"/>
      <c r="C6" s="838"/>
      <c r="D6" s="838"/>
      <c r="E6" s="838"/>
      <c r="F6" s="838"/>
      <c r="G6" s="838"/>
      <c r="H6" s="846"/>
      <c r="I6" s="842"/>
      <c r="J6" s="840"/>
      <c r="K6" s="840"/>
      <c r="L6" s="840"/>
      <c r="M6" s="840"/>
      <c r="N6" s="840"/>
      <c r="O6" s="840"/>
      <c r="P6" s="840"/>
      <c r="Q6" s="840"/>
      <c r="R6" s="849"/>
      <c r="S6" s="851"/>
      <c r="T6" s="840"/>
      <c r="U6" s="840"/>
      <c r="V6" s="840"/>
      <c r="W6" s="840"/>
      <c r="X6" s="840"/>
      <c r="Y6" s="840"/>
      <c r="Z6" s="840"/>
      <c r="AA6" s="840"/>
      <c r="AB6" s="852"/>
    </row>
    <row r="7" spans="1:28" x14ac:dyDescent="0.25">
      <c r="A7" s="847">
        <v>2</v>
      </c>
      <c r="B7" s="385"/>
      <c r="C7" s="663"/>
      <c r="D7" s="663"/>
      <c r="E7" s="663"/>
      <c r="F7" s="663"/>
      <c r="G7" s="663"/>
      <c r="H7" s="848"/>
      <c r="I7" s="843"/>
      <c r="J7" s="647"/>
      <c r="K7" s="647"/>
      <c r="L7" s="647"/>
      <c r="M7" s="647"/>
      <c r="N7" s="647"/>
      <c r="O7" s="647"/>
      <c r="P7" s="647"/>
      <c r="Q7" s="647"/>
      <c r="R7" s="850"/>
      <c r="S7" s="853"/>
      <c r="T7" s="647"/>
      <c r="U7" s="647"/>
      <c r="V7" s="647"/>
      <c r="W7" s="647"/>
      <c r="X7" s="647"/>
      <c r="Y7" s="647"/>
      <c r="Z7" s="647"/>
      <c r="AA7" s="647"/>
      <c r="AB7" s="854"/>
    </row>
    <row r="8" spans="1:28" x14ac:dyDescent="0.25">
      <c r="A8" s="847">
        <v>3</v>
      </c>
      <c r="B8" s="385"/>
      <c r="C8" s="663"/>
      <c r="D8" s="663"/>
      <c r="E8" s="663"/>
      <c r="F8" s="663"/>
      <c r="G8" s="663"/>
      <c r="H8" s="848"/>
      <c r="I8" s="843"/>
      <c r="J8" s="647"/>
      <c r="K8" s="647"/>
      <c r="L8" s="647"/>
      <c r="M8" s="647"/>
      <c r="N8" s="647"/>
      <c r="O8" s="647"/>
      <c r="P8" s="647"/>
      <c r="Q8" s="647"/>
      <c r="R8" s="850"/>
      <c r="S8" s="853"/>
      <c r="T8" s="647"/>
      <c r="U8" s="647"/>
      <c r="V8" s="647"/>
      <c r="W8" s="647"/>
      <c r="X8" s="647"/>
      <c r="Y8" s="647"/>
      <c r="Z8" s="647"/>
      <c r="AA8" s="647"/>
      <c r="AB8" s="854"/>
    </row>
    <row r="9" spans="1:28" x14ac:dyDescent="0.25">
      <c r="A9" s="847">
        <v>4</v>
      </c>
      <c r="B9" s="385"/>
      <c r="C9" s="663"/>
      <c r="D9" s="663"/>
      <c r="E9" s="663"/>
      <c r="F9" s="663"/>
      <c r="G9" s="663"/>
      <c r="H9" s="848"/>
      <c r="I9" s="843"/>
      <c r="J9" s="647"/>
      <c r="K9" s="647"/>
      <c r="L9" s="647"/>
      <c r="M9" s="647"/>
      <c r="N9" s="647"/>
      <c r="O9" s="647"/>
      <c r="P9" s="647"/>
      <c r="Q9" s="647"/>
      <c r="R9" s="850"/>
      <c r="S9" s="853"/>
      <c r="T9" s="647"/>
      <c r="U9" s="647"/>
      <c r="V9" s="647"/>
      <c r="W9" s="647"/>
      <c r="X9" s="647"/>
      <c r="Y9" s="647"/>
      <c r="Z9" s="647"/>
      <c r="AA9" s="647"/>
      <c r="AB9" s="854"/>
    </row>
    <row r="10" spans="1:28" x14ac:dyDescent="0.25">
      <c r="A10" s="847">
        <v>5</v>
      </c>
      <c r="B10" s="385"/>
      <c r="C10" s="663"/>
      <c r="D10" s="663"/>
      <c r="E10" s="663"/>
      <c r="F10" s="663"/>
      <c r="G10" s="663"/>
      <c r="H10" s="848"/>
      <c r="I10" s="843"/>
      <c r="J10" s="647"/>
      <c r="K10" s="647"/>
      <c r="L10" s="647"/>
      <c r="M10" s="647"/>
      <c r="N10" s="647"/>
      <c r="O10" s="647"/>
      <c r="P10" s="647"/>
      <c r="Q10" s="647"/>
      <c r="R10" s="850"/>
      <c r="S10" s="853"/>
      <c r="T10" s="647"/>
      <c r="U10" s="647"/>
      <c r="V10" s="647"/>
      <c r="W10" s="647"/>
      <c r="X10" s="647"/>
      <c r="Y10" s="647"/>
      <c r="Z10" s="647"/>
      <c r="AA10" s="647"/>
      <c r="AB10" s="854"/>
    </row>
    <row r="11" spans="1:28" x14ac:dyDescent="0.25">
      <c r="A11" s="847">
        <v>6</v>
      </c>
      <c r="B11" s="385"/>
      <c r="C11" s="663"/>
      <c r="D11" s="663"/>
      <c r="E11" s="663"/>
      <c r="F11" s="663"/>
      <c r="G11" s="663"/>
      <c r="H11" s="848"/>
      <c r="I11" s="843"/>
      <c r="J11" s="647"/>
      <c r="K11" s="647"/>
      <c r="L11" s="647"/>
      <c r="M11" s="647"/>
      <c r="N11" s="647"/>
      <c r="O11" s="647"/>
      <c r="P11" s="647"/>
      <c r="Q11" s="647"/>
      <c r="R11" s="850"/>
      <c r="S11" s="853"/>
      <c r="T11" s="647"/>
      <c r="U11" s="647"/>
      <c r="V11" s="647"/>
      <c r="W11" s="647"/>
      <c r="X11" s="647"/>
      <c r="Y11" s="647"/>
      <c r="Z11" s="647"/>
      <c r="AA11" s="647"/>
      <c r="AB11" s="854"/>
    </row>
    <row r="12" spans="1:28" x14ac:dyDescent="0.25">
      <c r="A12" s="847">
        <v>7</v>
      </c>
      <c r="B12" s="385"/>
      <c r="C12" s="663"/>
      <c r="D12" s="663"/>
      <c r="E12" s="663"/>
      <c r="F12" s="663"/>
      <c r="G12" s="663"/>
      <c r="H12" s="848"/>
      <c r="I12" s="843"/>
      <c r="J12" s="647"/>
      <c r="K12" s="647"/>
      <c r="L12" s="647"/>
      <c r="M12" s="647"/>
      <c r="N12" s="647"/>
      <c r="O12" s="647"/>
      <c r="P12" s="647"/>
      <c r="Q12" s="647"/>
      <c r="R12" s="850"/>
      <c r="S12" s="853"/>
      <c r="T12" s="647"/>
      <c r="U12" s="647"/>
      <c r="V12" s="647"/>
      <c r="W12" s="647"/>
      <c r="X12" s="647"/>
      <c r="Y12" s="647"/>
      <c r="Z12" s="647"/>
      <c r="AA12" s="647"/>
      <c r="AB12" s="854"/>
    </row>
    <row r="13" spans="1:28" x14ac:dyDescent="0.25">
      <c r="A13" s="847">
        <v>8</v>
      </c>
      <c r="B13" s="385"/>
      <c r="C13" s="663"/>
      <c r="D13" s="663"/>
      <c r="E13" s="663"/>
      <c r="F13" s="663"/>
      <c r="G13" s="663"/>
      <c r="H13" s="848"/>
      <c r="I13" s="843"/>
      <c r="J13" s="647"/>
      <c r="K13" s="647"/>
      <c r="L13" s="647"/>
      <c r="M13" s="647"/>
      <c r="N13" s="647"/>
      <c r="O13" s="647"/>
      <c r="P13" s="647"/>
      <c r="Q13" s="647"/>
      <c r="R13" s="850"/>
      <c r="S13" s="853"/>
      <c r="T13" s="647"/>
      <c r="U13" s="647"/>
      <c r="V13" s="647"/>
      <c r="W13" s="647"/>
      <c r="X13" s="647"/>
      <c r="Y13" s="647"/>
      <c r="Z13" s="647"/>
      <c r="AA13" s="647"/>
      <c r="AB13" s="854"/>
    </row>
    <row r="14" spans="1:28" ht="15.75" thickBot="1" x14ac:dyDescent="0.3">
      <c r="A14" s="855">
        <v>9</v>
      </c>
      <c r="B14" s="856"/>
      <c r="C14" s="857"/>
      <c r="D14" s="857"/>
      <c r="E14" s="857"/>
      <c r="F14" s="857"/>
      <c r="G14" s="857"/>
      <c r="H14" s="858"/>
      <c r="I14" s="859"/>
      <c r="J14" s="860"/>
      <c r="K14" s="860"/>
      <c r="L14" s="860"/>
      <c r="M14" s="860"/>
      <c r="N14" s="860"/>
      <c r="O14" s="860"/>
      <c r="P14" s="860"/>
      <c r="Q14" s="860"/>
      <c r="R14" s="861"/>
      <c r="S14" s="862"/>
      <c r="T14" s="860"/>
      <c r="U14" s="860"/>
      <c r="V14" s="860"/>
      <c r="W14" s="860"/>
      <c r="X14" s="860"/>
      <c r="Y14" s="860"/>
      <c r="Z14" s="860"/>
      <c r="AA14" s="860"/>
      <c r="AB14" s="863"/>
    </row>
    <row r="15" spans="1:28" ht="15.75" thickBot="1" x14ac:dyDescent="0.3">
      <c r="A15" s="864"/>
      <c r="B15" s="865" t="s">
        <v>700</v>
      </c>
      <c r="C15" s="866"/>
      <c r="D15" s="866"/>
      <c r="E15" s="866"/>
      <c r="F15" s="866"/>
      <c r="G15" s="866"/>
      <c r="H15" s="867"/>
      <c r="I15" s="868"/>
      <c r="J15" s="869"/>
      <c r="K15" s="869"/>
      <c r="L15" s="869"/>
      <c r="M15" s="869"/>
      <c r="N15" s="869"/>
      <c r="O15" s="869"/>
      <c r="P15" s="869"/>
      <c r="Q15" s="869"/>
      <c r="R15" s="870"/>
      <c r="S15" s="871"/>
      <c r="T15" s="869"/>
      <c r="U15" s="869"/>
      <c r="V15" s="869"/>
      <c r="W15" s="869"/>
      <c r="X15" s="869"/>
      <c r="Y15" s="869"/>
      <c r="Z15" s="869"/>
      <c r="AA15" s="869"/>
      <c r="AB15" s="872"/>
    </row>
  </sheetData>
  <mergeCells count="28">
    <mergeCell ref="I2:R2"/>
    <mergeCell ref="S2:AB2"/>
    <mergeCell ref="A3:A5"/>
    <mergeCell ref="B3:B5"/>
    <mergeCell ref="C3:C5"/>
    <mergeCell ref="D3:E4"/>
    <mergeCell ref="F3:H4"/>
    <mergeCell ref="U3:U5"/>
    <mergeCell ref="V3:V5"/>
    <mergeCell ref="W3:W5"/>
    <mergeCell ref="O3:Q4"/>
    <mergeCell ref="R3:R5"/>
    <mergeCell ref="A1:H1"/>
    <mergeCell ref="J1:L1"/>
    <mergeCell ref="AB3:AB5"/>
    <mergeCell ref="I3:I5"/>
    <mergeCell ref="J3:J5"/>
    <mergeCell ref="K3:K5"/>
    <mergeCell ref="L3:L5"/>
    <mergeCell ref="M3:N4"/>
    <mergeCell ref="X3:Y3"/>
    <mergeCell ref="X4:X5"/>
    <mergeCell ref="Y4:Y5"/>
    <mergeCell ref="Z3:Z5"/>
    <mergeCell ref="AA3:AA5"/>
    <mergeCell ref="S3:S5"/>
    <mergeCell ref="T3:T5"/>
    <mergeCell ref="A2:H2"/>
  </mergeCells>
  <pageMargins left="0.70866141732283472" right="0.70866141732283472" top="0.74803149606299213" bottom="0.74803149606299213" header="0.31496062992125984" footer="0.31496062992125984"/>
  <pageSetup scale="94" orientation="landscape" r:id="rId1"/>
  <colBreaks count="2" manualBreakCount="2">
    <brk id="8" max="1048575" man="1"/>
    <brk id="18" max="14"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1"/>
  <sheetViews>
    <sheetView workbookViewId="0">
      <pane xSplit="2" ySplit="5" topLeftCell="C6" activePane="bottomRight" state="frozen"/>
      <selection pane="topRight" activeCell="C1" sqref="C1"/>
      <selection pane="bottomLeft" activeCell="A6" sqref="A6"/>
      <selection pane="bottomRight" activeCell="H50" sqref="H50"/>
    </sheetView>
  </sheetViews>
  <sheetFormatPr defaultRowHeight="15" x14ac:dyDescent="0.25"/>
  <cols>
    <col min="2" max="2" width="34.5703125" customWidth="1"/>
    <col min="11" max="11" width="11.85546875" customWidth="1"/>
    <col min="15" max="15" width="14" customWidth="1"/>
  </cols>
  <sheetData>
    <row r="1" spans="1:19" s="174" customFormat="1" ht="15" customHeight="1" x14ac:dyDescent="0.25">
      <c r="A1" s="2019" t="s">
        <v>257</v>
      </c>
      <c r="B1" s="2019"/>
      <c r="C1" s="2030">
        <f>District!H4</f>
        <v>0</v>
      </c>
      <c r="D1" s="2030"/>
      <c r="E1" s="2030"/>
      <c r="O1" s="175"/>
    </row>
    <row r="2" spans="1:19" s="174" customFormat="1" ht="15.75" customHeight="1" x14ac:dyDescent="0.25">
      <c r="A2" s="2019" t="s">
        <v>258</v>
      </c>
      <c r="B2" s="2019"/>
      <c r="O2" s="175"/>
    </row>
    <row r="3" spans="1:19" s="176" customFormat="1" ht="18" customHeight="1" x14ac:dyDescent="0.25">
      <c r="A3" s="2026" t="s">
        <v>232</v>
      </c>
      <c r="B3" s="2027" t="s">
        <v>264</v>
      </c>
      <c r="C3" s="2022" t="s">
        <v>951</v>
      </c>
      <c r="D3" s="2023"/>
      <c r="E3" s="2023"/>
      <c r="F3" s="2023"/>
      <c r="G3" s="2023"/>
      <c r="H3" s="2023"/>
      <c r="I3" s="2024"/>
      <c r="J3" s="2022" t="s">
        <v>952</v>
      </c>
      <c r="K3" s="2023"/>
      <c r="L3" s="2023"/>
      <c r="M3" s="2023"/>
      <c r="N3" s="2024"/>
      <c r="O3" s="2020" t="s">
        <v>233</v>
      </c>
      <c r="R3" s="2025" t="s">
        <v>756</v>
      </c>
      <c r="S3" s="2025"/>
    </row>
    <row r="4" spans="1:19" s="176" customFormat="1" ht="18" customHeight="1" x14ac:dyDescent="0.25">
      <c r="A4" s="2026"/>
      <c r="B4" s="2028"/>
      <c r="C4" s="2021" t="s">
        <v>234</v>
      </c>
      <c r="D4" s="2021"/>
      <c r="E4" s="2021"/>
      <c r="F4" s="2022" t="s">
        <v>235</v>
      </c>
      <c r="G4" s="2023"/>
      <c r="H4" s="2023"/>
      <c r="I4" s="2024"/>
      <c r="J4" s="2022" t="s">
        <v>254</v>
      </c>
      <c r="K4" s="2023"/>
      <c r="L4" s="2023"/>
      <c r="M4" s="2024"/>
      <c r="N4" s="873" t="s">
        <v>256</v>
      </c>
      <c r="O4" s="2020"/>
      <c r="R4" s="2025"/>
      <c r="S4" s="2025"/>
    </row>
    <row r="5" spans="1:19" s="176" customFormat="1" ht="57.75" customHeight="1" x14ac:dyDescent="0.25">
      <c r="A5" s="2026"/>
      <c r="B5" s="2029"/>
      <c r="C5" s="873" t="s">
        <v>259</v>
      </c>
      <c r="D5" s="874" t="s">
        <v>260</v>
      </c>
      <c r="E5" s="873" t="s">
        <v>49</v>
      </c>
      <c r="F5" s="873" t="s">
        <v>252</v>
      </c>
      <c r="G5" s="874" t="s">
        <v>253</v>
      </c>
      <c r="H5" s="873" t="s">
        <v>49</v>
      </c>
      <c r="I5" s="875" t="s">
        <v>597</v>
      </c>
      <c r="J5" s="875" t="s">
        <v>571</v>
      </c>
      <c r="K5" s="875" t="s">
        <v>261</v>
      </c>
      <c r="L5" s="875" t="s">
        <v>262</v>
      </c>
      <c r="M5" s="875" t="s">
        <v>263</v>
      </c>
      <c r="N5" s="875" t="s">
        <v>255</v>
      </c>
      <c r="O5" s="2020"/>
      <c r="R5" s="476" t="s">
        <v>757</v>
      </c>
      <c r="S5" s="476" t="s">
        <v>758</v>
      </c>
    </row>
    <row r="6" spans="1:19" s="176" customFormat="1" ht="15.75" x14ac:dyDescent="0.25">
      <c r="A6" s="876"/>
      <c r="B6" s="877" t="s">
        <v>265</v>
      </c>
      <c r="C6" s="878"/>
      <c r="D6" s="879"/>
      <c r="E6" s="878"/>
      <c r="F6" s="878"/>
      <c r="G6" s="879"/>
      <c r="H6" s="878"/>
      <c r="I6" s="878"/>
      <c r="J6" s="878"/>
      <c r="K6" s="878"/>
      <c r="L6" s="878"/>
      <c r="M6" s="878"/>
      <c r="N6" s="878"/>
      <c r="O6" s="880"/>
      <c r="R6" s="476"/>
      <c r="S6" s="476"/>
    </row>
    <row r="7" spans="1:19" ht="15.75" hidden="1" thickBot="1" x14ac:dyDescent="0.3">
      <c r="B7" s="374" t="s">
        <v>573</v>
      </c>
      <c r="C7" s="580"/>
      <c r="D7" s="580"/>
      <c r="E7" s="580"/>
      <c r="F7" s="580"/>
      <c r="G7" s="580"/>
      <c r="H7" s="580"/>
      <c r="I7" s="580"/>
      <c r="J7" s="580"/>
      <c r="K7" s="580"/>
      <c r="L7" s="580"/>
      <c r="M7" s="580"/>
      <c r="N7" s="580"/>
      <c r="O7" s="170"/>
      <c r="R7" s="170"/>
      <c r="S7" s="170"/>
    </row>
    <row r="8" spans="1:19" ht="30.75" hidden="1" thickBot="1" x14ac:dyDescent="0.3">
      <c r="A8" s="170">
        <v>1</v>
      </c>
      <c r="B8" s="376" t="s">
        <v>574</v>
      </c>
      <c r="C8" s="182"/>
      <c r="D8" s="182"/>
      <c r="E8" s="182"/>
      <c r="F8" s="182"/>
      <c r="G8" s="182"/>
      <c r="H8" s="182"/>
      <c r="I8" s="182"/>
      <c r="J8" s="182"/>
      <c r="K8" s="182"/>
      <c r="L8" s="182"/>
      <c r="M8" s="182"/>
      <c r="N8" s="182"/>
      <c r="O8" s="170"/>
      <c r="R8" s="477"/>
      <c r="S8" s="170"/>
    </row>
    <row r="9" spans="1:19" ht="16.5" hidden="1" thickBot="1" x14ac:dyDescent="0.3">
      <c r="A9" s="170">
        <v>2</v>
      </c>
      <c r="B9" s="377" t="s">
        <v>575</v>
      </c>
      <c r="C9" s="182"/>
      <c r="D9" s="182"/>
      <c r="E9" s="182"/>
      <c r="F9" s="182"/>
      <c r="G9" s="182"/>
      <c r="H9" s="182"/>
      <c r="I9" s="182"/>
      <c r="J9" s="182"/>
      <c r="K9" s="182"/>
      <c r="L9" s="182"/>
      <c r="M9" s="182"/>
      <c r="N9" s="182"/>
      <c r="O9" s="170"/>
      <c r="R9" s="477"/>
      <c r="S9" s="170"/>
    </row>
    <row r="10" spans="1:19" ht="16.5" hidden="1" thickBot="1" x14ac:dyDescent="0.3">
      <c r="A10" s="170">
        <v>3</v>
      </c>
      <c r="B10" s="377" t="s">
        <v>576</v>
      </c>
      <c r="C10" s="182"/>
      <c r="D10" s="182"/>
      <c r="E10" s="182"/>
      <c r="F10" s="182"/>
      <c r="G10" s="182"/>
      <c r="H10" s="182"/>
      <c r="I10" s="182"/>
      <c r="J10" s="182"/>
      <c r="K10" s="182"/>
      <c r="L10" s="182"/>
      <c r="M10" s="182"/>
      <c r="N10" s="182"/>
      <c r="O10" s="170"/>
      <c r="R10" s="477"/>
      <c r="S10" s="170"/>
    </row>
    <row r="11" spans="1:19" ht="16.5" hidden="1" thickBot="1" x14ac:dyDescent="0.3">
      <c r="A11" s="170">
        <v>4</v>
      </c>
      <c r="B11" s="377" t="s">
        <v>577</v>
      </c>
      <c r="C11" s="182"/>
      <c r="D11" s="182"/>
      <c r="E11" s="182"/>
      <c r="F11" s="182"/>
      <c r="G11" s="182"/>
      <c r="H11" s="182"/>
      <c r="I11" s="182"/>
      <c r="J11" s="182"/>
      <c r="K11" s="182"/>
      <c r="L11" s="182"/>
      <c r="M11" s="182"/>
      <c r="N11" s="182"/>
      <c r="O11" s="170"/>
      <c r="R11" s="477"/>
      <c r="S11" s="170"/>
    </row>
    <row r="12" spans="1:19" ht="16.5" hidden="1" thickBot="1" x14ac:dyDescent="0.3">
      <c r="A12" s="170">
        <v>5</v>
      </c>
      <c r="B12" s="377" t="s">
        <v>578</v>
      </c>
      <c r="C12" s="182"/>
      <c r="D12" s="182"/>
      <c r="E12" s="182"/>
      <c r="F12" s="182"/>
      <c r="G12" s="182"/>
      <c r="H12" s="182"/>
      <c r="I12" s="182"/>
      <c r="J12" s="182"/>
      <c r="K12" s="182"/>
      <c r="L12" s="182"/>
      <c r="M12" s="182"/>
      <c r="N12" s="182"/>
      <c r="O12" s="170"/>
      <c r="R12" s="477"/>
      <c r="S12" s="170"/>
    </row>
    <row r="13" spans="1:19" ht="16.5" hidden="1" thickBot="1" x14ac:dyDescent="0.3">
      <c r="A13" s="170">
        <v>6</v>
      </c>
      <c r="B13" s="377" t="s">
        <v>579</v>
      </c>
      <c r="C13" s="182"/>
      <c r="D13" s="182"/>
      <c r="E13" s="182"/>
      <c r="F13" s="182"/>
      <c r="G13" s="182"/>
      <c r="H13" s="182"/>
      <c r="I13" s="182"/>
      <c r="J13" s="182"/>
      <c r="K13" s="182"/>
      <c r="L13" s="182"/>
      <c r="M13" s="182"/>
      <c r="N13" s="182"/>
      <c r="O13" s="170"/>
      <c r="R13" s="477"/>
      <c r="S13" s="170"/>
    </row>
    <row r="14" spans="1:19" ht="16.5" hidden="1" thickBot="1" x14ac:dyDescent="0.3">
      <c r="A14" s="170">
        <v>7</v>
      </c>
      <c r="B14" s="377" t="s">
        <v>580</v>
      </c>
      <c r="C14" s="182"/>
      <c r="D14" s="182"/>
      <c r="E14" s="182"/>
      <c r="F14" s="182"/>
      <c r="G14" s="182"/>
      <c r="H14" s="182"/>
      <c r="I14" s="182"/>
      <c r="J14" s="182"/>
      <c r="K14" s="182"/>
      <c r="L14" s="182"/>
      <c r="M14" s="182"/>
      <c r="N14" s="182"/>
      <c r="O14" s="170"/>
      <c r="R14" s="477"/>
      <c r="S14" s="170"/>
    </row>
    <row r="15" spans="1:19" ht="16.5" hidden="1" thickBot="1" x14ac:dyDescent="0.3">
      <c r="A15" s="170">
        <v>8</v>
      </c>
      <c r="B15" s="377" t="s">
        <v>581</v>
      </c>
      <c r="C15" s="182"/>
      <c r="D15" s="182"/>
      <c r="E15" s="182"/>
      <c r="F15" s="182"/>
      <c r="G15" s="182"/>
      <c r="H15" s="182"/>
      <c r="I15" s="182"/>
      <c r="J15" s="182"/>
      <c r="K15" s="182"/>
      <c r="L15" s="182"/>
      <c r="M15" s="182"/>
      <c r="N15" s="182"/>
      <c r="O15" s="170"/>
      <c r="R15" s="477"/>
      <c r="S15" s="170"/>
    </row>
    <row r="16" spans="1:19" ht="16.5" hidden="1" thickBot="1" x14ac:dyDescent="0.3">
      <c r="A16" s="170">
        <v>9</v>
      </c>
      <c r="B16" s="377" t="s">
        <v>582</v>
      </c>
      <c r="C16" s="182"/>
      <c r="D16" s="182"/>
      <c r="E16" s="182"/>
      <c r="F16" s="182"/>
      <c r="G16" s="182"/>
      <c r="H16" s="182"/>
      <c r="I16" s="182"/>
      <c r="J16" s="182"/>
      <c r="K16" s="182"/>
      <c r="L16" s="182"/>
      <c r="M16" s="182"/>
      <c r="N16" s="182"/>
      <c r="O16" s="170"/>
      <c r="R16" s="477"/>
      <c r="S16" s="170"/>
    </row>
    <row r="17" spans="1:19" ht="16.5" hidden="1" thickBot="1" x14ac:dyDescent="0.3">
      <c r="A17" s="170">
        <v>10</v>
      </c>
      <c r="B17" s="377" t="s">
        <v>583</v>
      </c>
      <c r="C17" s="182"/>
      <c r="D17" s="182"/>
      <c r="E17" s="182"/>
      <c r="F17" s="182"/>
      <c r="G17" s="182"/>
      <c r="H17" s="182"/>
      <c r="I17" s="182"/>
      <c r="J17" s="182"/>
      <c r="K17" s="182"/>
      <c r="L17" s="182"/>
      <c r="M17" s="182"/>
      <c r="N17" s="182"/>
      <c r="O17" s="170"/>
      <c r="R17" s="477"/>
      <c r="S17" s="170"/>
    </row>
    <row r="18" spans="1:19" ht="21.75" hidden="1" customHeight="1" thickBot="1" x14ac:dyDescent="0.3">
      <c r="A18" s="170">
        <v>11</v>
      </c>
      <c r="B18" s="377" t="s">
        <v>584</v>
      </c>
      <c r="C18" s="182"/>
      <c r="D18" s="182"/>
      <c r="E18" s="182"/>
      <c r="F18" s="182"/>
      <c r="G18" s="182"/>
      <c r="H18" s="182"/>
      <c r="I18" s="182"/>
      <c r="J18" s="182"/>
      <c r="K18" s="182"/>
      <c r="L18" s="182"/>
      <c r="M18" s="182"/>
      <c r="N18" s="182"/>
      <c r="O18" s="170"/>
      <c r="R18" s="478"/>
      <c r="S18" s="170"/>
    </row>
    <row r="19" spans="1:19" ht="16.5" hidden="1" thickBot="1" x14ac:dyDescent="0.3">
      <c r="A19" s="170">
        <v>12</v>
      </c>
      <c r="B19" s="377" t="s">
        <v>585</v>
      </c>
      <c r="C19" s="182"/>
      <c r="D19" s="182"/>
      <c r="E19" s="182"/>
      <c r="F19" s="182"/>
      <c r="G19" s="182"/>
      <c r="H19" s="182"/>
      <c r="I19" s="182"/>
      <c r="J19" s="182"/>
      <c r="K19" s="182"/>
      <c r="L19" s="182"/>
      <c r="M19" s="182"/>
      <c r="N19" s="182"/>
      <c r="O19" s="170"/>
      <c r="R19" s="479"/>
      <c r="S19" s="170"/>
    </row>
    <row r="20" spans="1:19" ht="16.5" hidden="1" thickBot="1" x14ac:dyDescent="0.3">
      <c r="A20" s="170">
        <v>13</v>
      </c>
      <c r="B20" s="377" t="s">
        <v>586</v>
      </c>
      <c r="C20" s="182"/>
      <c r="D20" s="182"/>
      <c r="E20" s="182"/>
      <c r="F20" s="182"/>
      <c r="G20" s="182"/>
      <c r="H20" s="182"/>
      <c r="I20" s="182"/>
      <c r="J20" s="182"/>
      <c r="K20" s="182"/>
      <c r="L20" s="182"/>
      <c r="M20" s="182"/>
      <c r="N20" s="182"/>
      <c r="O20" s="170"/>
      <c r="R20" s="477"/>
      <c r="S20" s="170"/>
    </row>
    <row r="21" spans="1:19" ht="16.5" hidden="1" thickBot="1" x14ac:dyDescent="0.3">
      <c r="A21" s="170">
        <v>14</v>
      </c>
      <c r="B21" s="378" t="s">
        <v>587</v>
      </c>
      <c r="C21" s="182"/>
      <c r="D21" s="182"/>
      <c r="E21" s="182"/>
      <c r="F21" s="182"/>
      <c r="G21" s="182"/>
      <c r="H21" s="182"/>
      <c r="I21" s="182"/>
      <c r="J21" s="182"/>
      <c r="K21" s="182"/>
      <c r="L21" s="182"/>
      <c r="M21" s="182"/>
      <c r="N21" s="182"/>
      <c r="O21" s="170"/>
      <c r="R21" s="479"/>
      <c r="S21" s="170"/>
    </row>
    <row r="22" spans="1:19" ht="16.5" hidden="1" thickBot="1" x14ac:dyDescent="0.3">
      <c r="A22" s="170">
        <v>15</v>
      </c>
      <c r="B22" s="378" t="s">
        <v>588</v>
      </c>
      <c r="C22" s="182"/>
      <c r="D22" s="182"/>
      <c r="E22" s="182"/>
      <c r="F22" s="182"/>
      <c r="G22" s="182"/>
      <c r="H22" s="182"/>
      <c r="I22" s="182"/>
      <c r="J22" s="182"/>
      <c r="K22" s="182"/>
      <c r="L22" s="182"/>
      <c r="M22" s="182"/>
      <c r="N22" s="182"/>
      <c r="O22" s="170"/>
      <c r="R22" s="477"/>
      <c r="S22" s="170"/>
    </row>
    <row r="23" spans="1:19" ht="16.5" hidden="1" thickBot="1" x14ac:dyDescent="0.3">
      <c r="A23" s="170">
        <v>16</v>
      </c>
      <c r="B23" s="378" t="s">
        <v>589</v>
      </c>
      <c r="C23" s="182"/>
      <c r="D23" s="182"/>
      <c r="E23" s="182"/>
      <c r="F23" s="182"/>
      <c r="G23" s="182"/>
      <c r="H23" s="182"/>
      <c r="I23" s="182"/>
      <c r="J23" s="182"/>
      <c r="K23" s="182"/>
      <c r="L23" s="182"/>
      <c r="M23" s="182"/>
      <c r="N23" s="182"/>
      <c r="O23" s="170"/>
      <c r="R23" s="477"/>
      <c r="S23" s="170"/>
    </row>
    <row r="24" spans="1:19" ht="16.5" hidden="1" thickBot="1" x14ac:dyDescent="0.3">
      <c r="A24" s="170">
        <v>17</v>
      </c>
      <c r="B24" s="378" t="s">
        <v>590</v>
      </c>
      <c r="C24" s="182"/>
      <c r="D24" s="182"/>
      <c r="E24" s="182"/>
      <c r="F24" s="182"/>
      <c r="G24" s="182"/>
      <c r="H24" s="182"/>
      <c r="I24" s="182"/>
      <c r="J24" s="182"/>
      <c r="K24" s="182"/>
      <c r="L24" s="182"/>
      <c r="M24" s="182"/>
      <c r="N24" s="182"/>
      <c r="O24" s="170"/>
      <c r="R24" s="477"/>
      <c r="S24" s="170"/>
    </row>
    <row r="25" spans="1:19" ht="16.5" hidden="1" thickBot="1" x14ac:dyDescent="0.3">
      <c r="A25" s="170">
        <v>18</v>
      </c>
      <c r="B25" s="378" t="s">
        <v>591</v>
      </c>
      <c r="C25" s="182"/>
      <c r="D25" s="182"/>
      <c r="E25" s="182"/>
      <c r="F25" s="182"/>
      <c r="G25" s="182"/>
      <c r="H25" s="182"/>
      <c r="I25" s="182"/>
      <c r="J25" s="182"/>
      <c r="K25" s="182"/>
      <c r="L25" s="182"/>
      <c r="M25" s="182"/>
      <c r="N25" s="182"/>
      <c r="O25" s="170"/>
      <c r="R25" s="479"/>
      <c r="S25" s="170"/>
    </row>
    <row r="26" spans="1:19" ht="16.5" hidden="1" thickBot="1" x14ac:dyDescent="0.3">
      <c r="A26" s="170">
        <v>19</v>
      </c>
      <c r="B26" s="378" t="s">
        <v>592</v>
      </c>
      <c r="C26" s="182"/>
      <c r="D26" s="182"/>
      <c r="E26" s="182"/>
      <c r="F26" s="182"/>
      <c r="G26" s="182"/>
      <c r="H26" s="182"/>
      <c r="I26" s="182"/>
      <c r="J26" s="182"/>
      <c r="K26" s="182"/>
      <c r="L26" s="182"/>
      <c r="M26" s="182"/>
      <c r="N26" s="182"/>
      <c r="O26" s="170"/>
      <c r="R26" s="477"/>
      <c r="S26" s="170"/>
    </row>
    <row r="27" spans="1:19" ht="15.75" hidden="1" x14ac:dyDescent="0.25">
      <c r="A27" s="170">
        <v>20</v>
      </c>
      <c r="B27" s="177" t="s">
        <v>593</v>
      </c>
      <c r="C27" s="182"/>
      <c r="D27" s="182"/>
      <c r="E27" s="182"/>
      <c r="F27" s="182"/>
      <c r="G27" s="182"/>
      <c r="H27" s="182"/>
      <c r="I27" s="182"/>
      <c r="J27" s="182"/>
      <c r="K27" s="182"/>
      <c r="L27" s="182"/>
      <c r="M27" s="182"/>
      <c r="N27" s="182"/>
      <c r="O27" s="170"/>
      <c r="R27" s="477"/>
      <c r="S27" s="170"/>
    </row>
    <row r="28" spans="1:19" hidden="1" x14ac:dyDescent="0.25">
      <c r="A28" s="170">
        <v>21</v>
      </c>
      <c r="B28" s="177" t="s">
        <v>594</v>
      </c>
      <c r="C28" s="182"/>
      <c r="D28" s="182"/>
      <c r="E28" s="182"/>
      <c r="F28" s="182"/>
      <c r="G28" s="182"/>
      <c r="H28" s="182"/>
      <c r="I28" s="182"/>
      <c r="J28" s="182"/>
      <c r="K28" s="182"/>
      <c r="L28" s="182"/>
      <c r="M28" s="182"/>
      <c r="N28" s="182"/>
      <c r="O28" s="170"/>
      <c r="R28" s="170"/>
      <c r="S28" s="170"/>
    </row>
    <row r="29" spans="1:19" hidden="1" x14ac:dyDescent="0.25">
      <c r="A29" s="170">
        <v>22</v>
      </c>
      <c r="B29" s="177" t="s">
        <v>595</v>
      </c>
      <c r="C29" s="182"/>
      <c r="D29" s="182"/>
      <c r="E29" s="182"/>
      <c r="F29" s="182"/>
      <c r="G29" s="182"/>
      <c r="H29" s="182"/>
      <c r="I29" s="182"/>
      <c r="J29" s="182"/>
      <c r="K29" s="182"/>
      <c r="L29" s="182"/>
      <c r="M29" s="182"/>
      <c r="N29" s="182"/>
      <c r="O29" s="170"/>
      <c r="R29" s="170"/>
      <c r="S29" s="170"/>
    </row>
    <row r="30" spans="1:19" hidden="1" x14ac:dyDescent="0.25">
      <c r="A30" s="170">
        <v>23</v>
      </c>
      <c r="B30" s="177" t="s">
        <v>205</v>
      </c>
      <c r="C30" s="182"/>
      <c r="D30" s="182"/>
      <c r="E30" s="182"/>
      <c r="F30" s="182"/>
      <c r="G30" s="182"/>
      <c r="H30" s="182"/>
      <c r="I30" s="182"/>
      <c r="J30" s="182"/>
      <c r="K30" s="182"/>
      <c r="L30" s="182"/>
      <c r="M30" s="182"/>
      <c r="N30" s="182"/>
      <c r="O30" s="170"/>
      <c r="R30" s="170"/>
      <c r="S30" s="170"/>
    </row>
    <row r="31" spans="1:19" hidden="1" x14ac:dyDescent="0.25">
      <c r="A31" s="170">
        <v>24</v>
      </c>
      <c r="B31" s="177" t="s">
        <v>205</v>
      </c>
      <c r="C31" s="182"/>
      <c r="D31" s="182"/>
      <c r="E31" s="182"/>
      <c r="F31" s="182"/>
      <c r="G31" s="182"/>
      <c r="H31" s="182"/>
      <c r="I31" s="182"/>
      <c r="J31" s="182"/>
      <c r="K31" s="182"/>
      <c r="L31" s="182"/>
      <c r="M31" s="182"/>
      <c r="N31" s="182"/>
      <c r="O31" s="170"/>
      <c r="R31" s="170"/>
      <c r="S31" s="170"/>
    </row>
    <row r="32" spans="1:19" hidden="1" x14ac:dyDescent="0.25">
      <c r="A32" s="170">
        <v>25</v>
      </c>
      <c r="B32" s="177" t="s">
        <v>205</v>
      </c>
      <c r="C32" s="182"/>
      <c r="D32" s="182"/>
      <c r="E32" s="182"/>
      <c r="F32" s="182"/>
      <c r="G32" s="182"/>
      <c r="H32" s="182"/>
      <c r="I32" s="182"/>
      <c r="J32" s="182"/>
      <c r="K32" s="182"/>
      <c r="L32" s="182"/>
      <c r="M32" s="182"/>
      <c r="N32" s="182"/>
      <c r="O32" s="170"/>
      <c r="R32" s="170"/>
      <c r="S32" s="170"/>
    </row>
    <row r="33" spans="1:19" hidden="1" x14ac:dyDescent="0.25">
      <c r="A33" s="170">
        <v>26</v>
      </c>
      <c r="B33" s="177" t="s">
        <v>205</v>
      </c>
      <c r="C33" s="182"/>
      <c r="D33" s="182"/>
      <c r="E33" s="182"/>
      <c r="F33" s="182"/>
      <c r="G33" s="182"/>
      <c r="H33" s="182"/>
      <c r="I33" s="182"/>
      <c r="J33" s="182"/>
      <c r="K33" s="182"/>
      <c r="L33" s="182"/>
      <c r="M33" s="182"/>
      <c r="N33" s="182"/>
      <c r="O33" s="170"/>
      <c r="R33" s="170"/>
      <c r="S33" s="170"/>
    </row>
    <row r="34" spans="1:19" hidden="1" x14ac:dyDescent="0.25">
      <c r="A34" s="170"/>
      <c r="B34" s="177" t="s">
        <v>596</v>
      </c>
      <c r="C34" s="708">
        <f t="shared" ref="C34:N34" si="0">SUM(C8:C33)</f>
        <v>0</v>
      </c>
      <c r="D34" s="708">
        <f t="shared" si="0"/>
        <v>0</v>
      </c>
      <c r="E34" s="708">
        <f t="shared" si="0"/>
        <v>0</v>
      </c>
      <c r="F34" s="708">
        <f t="shared" si="0"/>
        <v>0</v>
      </c>
      <c r="G34" s="708">
        <f t="shared" si="0"/>
        <v>0</v>
      </c>
      <c r="H34" s="708">
        <f t="shared" si="0"/>
        <v>0</v>
      </c>
      <c r="I34" s="708">
        <f t="shared" si="0"/>
        <v>0</v>
      </c>
      <c r="J34" s="708">
        <f t="shared" si="0"/>
        <v>0</v>
      </c>
      <c r="K34" s="708">
        <f t="shared" si="0"/>
        <v>0</v>
      </c>
      <c r="L34" s="708">
        <f t="shared" si="0"/>
        <v>0</v>
      </c>
      <c r="M34" s="708">
        <f t="shared" si="0"/>
        <v>0</v>
      </c>
      <c r="N34" s="708">
        <f t="shared" si="0"/>
        <v>0</v>
      </c>
      <c r="O34" s="708"/>
      <c r="R34" s="170"/>
      <c r="S34" s="170"/>
    </row>
    <row r="35" spans="1:19" ht="18" x14ac:dyDescent="0.25">
      <c r="A35" s="170"/>
      <c r="B35" s="649" t="s">
        <v>572</v>
      </c>
      <c r="C35" s="881"/>
      <c r="D35" s="580"/>
      <c r="E35" s="580"/>
      <c r="F35" s="580"/>
      <c r="G35" s="580"/>
      <c r="H35" s="580"/>
      <c r="I35" s="580"/>
      <c r="J35" s="580"/>
      <c r="K35" s="580"/>
      <c r="L35" s="580"/>
      <c r="M35" s="580"/>
      <c r="N35" s="580"/>
      <c r="O35" s="170"/>
      <c r="R35" s="170"/>
      <c r="S35" s="170"/>
    </row>
    <row r="36" spans="1:19" x14ac:dyDescent="0.25">
      <c r="A36" s="170"/>
      <c r="B36" s="648" t="s">
        <v>892</v>
      </c>
      <c r="C36" s="881"/>
      <c r="D36" s="580"/>
      <c r="E36" s="580"/>
      <c r="F36" s="580"/>
      <c r="G36" s="580"/>
      <c r="H36" s="580"/>
      <c r="I36" s="580"/>
      <c r="J36" s="580"/>
      <c r="K36" s="580"/>
      <c r="L36" s="580"/>
      <c r="M36" s="580"/>
      <c r="N36" s="580"/>
      <c r="O36" s="170"/>
      <c r="R36" s="170"/>
      <c r="S36" s="170"/>
    </row>
    <row r="37" spans="1:19" x14ac:dyDescent="0.25">
      <c r="A37" s="170">
        <v>1</v>
      </c>
      <c r="B37" s="177" t="s">
        <v>236</v>
      </c>
      <c r="C37" s="182"/>
      <c r="D37" s="182"/>
      <c r="E37" s="182"/>
      <c r="F37" s="182"/>
      <c r="G37" s="182"/>
      <c r="H37" s="182"/>
      <c r="I37" s="182"/>
      <c r="J37" s="182"/>
      <c r="K37" s="182"/>
      <c r="L37" s="182"/>
      <c r="M37" s="182"/>
      <c r="N37" s="182"/>
      <c r="O37" s="170"/>
      <c r="R37" s="170"/>
      <c r="S37" s="170"/>
    </row>
    <row r="38" spans="1:19" x14ac:dyDescent="0.25">
      <c r="A38" s="170">
        <v>2</v>
      </c>
      <c r="B38" s="177" t="s">
        <v>237</v>
      </c>
      <c r="C38" s="182"/>
      <c r="D38" s="182"/>
      <c r="E38" s="182"/>
      <c r="F38" s="182"/>
      <c r="G38" s="182"/>
      <c r="H38" s="182"/>
      <c r="I38" s="182"/>
      <c r="J38" s="182"/>
      <c r="K38" s="182"/>
      <c r="L38" s="182"/>
      <c r="M38" s="182"/>
      <c r="N38" s="182"/>
      <c r="O38" s="170"/>
      <c r="R38" s="170"/>
      <c r="S38" s="170"/>
    </row>
    <row r="39" spans="1:19" x14ac:dyDescent="0.25">
      <c r="A39" s="170">
        <v>3</v>
      </c>
      <c r="B39" s="177" t="s">
        <v>238</v>
      </c>
      <c r="C39" s="182"/>
      <c r="D39" s="182"/>
      <c r="E39" s="182"/>
      <c r="F39" s="182"/>
      <c r="G39" s="182"/>
      <c r="H39" s="182"/>
      <c r="I39" s="182"/>
      <c r="J39" s="182"/>
      <c r="K39" s="182"/>
      <c r="L39" s="182"/>
      <c r="M39" s="182"/>
      <c r="N39" s="182"/>
      <c r="O39" s="170"/>
      <c r="R39" s="170"/>
      <c r="S39" s="170"/>
    </row>
    <row r="40" spans="1:19" x14ac:dyDescent="0.25">
      <c r="A40" s="170">
        <v>4</v>
      </c>
      <c r="B40" s="177" t="s">
        <v>239</v>
      </c>
      <c r="C40" s="182"/>
      <c r="D40" s="182"/>
      <c r="E40" s="182"/>
      <c r="F40" s="182"/>
      <c r="G40" s="182"/>
      <c r="H40" s="182"/>
      <c r="I40" s="182"/>
      <c r="J40" s="182"/>
      <c r="K40" s="182"/>
      <c r="L40" s="182"/>
      <c r="M40" s="182"/>
      <c r="N40" s="182"/>
      <c r="O40" s="170"/>
      <c r="R40" s="170"/>
      <c r="S40" s="170"/>
    </row>
    <row r="41" spans="1:19" x14ac:dyDescent="0.25">
      <c r="A41" s="170">
        <v>5</v>
      </c>
      <c r="B41" s="177" t="s">
        <v>240</v>
      </c>
      <c r="C41" s="182"/>
      <c r="D41" s="182"/>
      <c r="E41" s="182"/>
      <c r="F41" s="182"/>
      <c r="G41" s="182"/>
      <c r="H41" s="182"/>
      <c r="I41" s="182"/>
      <c r="J41" s="182"/>
      <c r="K41" s="182"/>
      <c r="L41" s="182"/>
      <c r="M41" s="182"/>
      <c r="N41" s="182"/>
      <c r="O41" s="170"/>
      <c r="R41" s="170"/>
      <c r="S41" s="170"/>
    </row>
    <row r="42" spans="1:19" x14ac:dyDescent="0.25">
      <c r="A42" s="170">
        <v>6</v>
      </c>
      <c r="B42" s="177" t="s">
        <v>241</v>
      </c>
      <c r="C42" s="182"/>
      <c r="D42" s="182"/>
      <c r="E42" s="182"/>
      <c r="F42" s="182"/>
      <c r="G42" s="182"/>
      <c r="H42" s="182"/>
      <c r="I42" s="182"/>
      <c r="J42" s="182"/>
      <c r="K42" s="182"/>
      <c r="L42" s="182"/>
      <c r="M42" s="182"/>
      <c r="N42" s="182"/>
      <c r="O42" s="170"/>
      <c r="R42" s="170"/>
      <c r="S42" s="170"/>
    </row>
    <row r="43" spans="1:19" x14ac:dyDescent="0.25">
      <c r="A43" s="170">
        <v>7</v>
      </c>
      <c r="B43" s="177" t="s">
        <v>242</v>
      </c>
      <c r="C43" s="182"/>
      <c r="D43" s="182"/>
      <c r="E43" s="182"/>
      <c r="F43" s="182"/>
      <c r="G43" s="182"/>
      <c r="H43" s="182"/>
      <c r="I43" s="182"/>
      <c r="J43" s="182"/>
      <c r="K43" s="182"/>
      <c r="L43" s="182"/>
      <c r="M43" s="182"/>
      <c r="N43" s="182"/>
      <c r="O43" s="170"/>
      <c r="R43" s="170"/>
      <c r="S43" s="170"/>
    </row>
    <row r="44" spans="1:19" x14ac:dyDescent="0.25">
      <c r="A44" s="170">
        <v>8</v>
      </c>
      <c r="B44" s="177" t="s">
        <v>243</v>
      </c>
      <c r="C44" s="182"/>
      <c r="D44" s="182"/>
      <c r="E44" s="182"/>
      <c r="F44" s="182"/>
      <c r="G44" s="182"/>
      <c r="H44" s="182"/>
      <c r="I44" s="182"/>
      <c r="J44" s="182"/>
      <c r="K44" s="182"/>
      <c r="L44" s="182"/>
      <c r="M44" s="182"/>
      <c r="N44" s="182"/>
      <c r="O44" s="170"/>
      <c r="R44" s="170"/>
      <c r="S44" s="170"/>
    </row>
    <row r="45" spans="1:19" x14ac:dyDescent="0.25">
      <c r="A45" s="170">
        <v>9</v>
      </c>
      <c r="B45" s="177" t="s">
        <v>205</v>
      </c>
      <c r="C45" s="182"/>
      <c r="D45" s="182"/>
      <c r="E45" s="182"/>
      <c r="F45" s="182"/>
      <c r="G45" s="182"/>
      <c r="H45" s="182"/>
      <c r="I45" s="182"/>
      <c r="J45" s="182"/>
      <c r="K45" s="182"/>
      <c r="L45" s="182"/>
      <c r="M45" s="182"/>
      <c r="N45" s="182"/>
      <c r="O45" s="170"/>
      <c r="R45" s="170"/>
      <c r="S45" s="170"/>
    </row>
    <row r="46" spans="1:19" x14ac:dyDescent="0.25">
      <c r="A46" s="170">
        <v>10</v>
      </c>
      <c r="B46" s="178" t="s">
        <v>244</v>
      </c>
      <c r="C46" s="182"/>
      <c r="D46" s="182"/>
      <c r="E46" s="182"/>
      <c r="F46" s="182"/>
      <c r="G46" s="182"/>
      <c r="H46" s="182"/>
      <c r="I46" s="182"/>
      <c r="J46" s="182"/>
      <c r="K46" s="182"/>
      <c r="L46" s="182"/>
      <c r="M46" s="182"/>
      <c r="N46" s="182"/>
      <c r="O46" s="170"/>
      <c r="R46" s="170"/>
      <c r="S46" s="170"/>
    </row>
    <row r="47" spans="1:19" x14ac:dyDescent="0.25">
      <c r="A47" s="170">
        <v>11</v>
      </c>
      <c r="B47" s="178" t="s">
        <v>245</v>
      </c>
      <c r="C47" s="182"/>
      <c r="D47" s="182"/>
      <c r="E47" s="182"/>
      <c r="F47" s="182"/>
      <c r="G47" s="182"/>
      <c r="H47" s="182"/>
      <c r="I47" s="182"/>
      <c r="J47" s="182"/>
      <c r="K47" s="182"/>
      <c r="L47" s="182"/>
      <c r="M47" s="182"/>
      <c r="N47" s="182"/>
      <c r="O47" s="170"/>
      <c r="R47" s="170"/>
      <c r="S47" s="170"/>
    </row>
    <row r="48" spans="1:19" x14ac:dyDescent="0.25">
      <c r="A48" s="170">
        <v>12</v>
      </c>
      <c r="B48" s="179" t="s">
        <v>246</v>
      </c>
      <c r="C48" s="182"/>
      <c r="D48" s="182"/>
      <c r="E48" s="182"/>
      <c r="F48" s="182"/>
      <c r="G48" s="182"/>
      <c r="H48" s="182"/>
      <c r="I48" s="182"/>
      <c r="J48" s="182"/>
      <c r="K48" s="182"/>
      <c r="L48" s="182"/>
      <c r="M48" s="182"/>
      <c r="N48" s="182"/>
      <c r="O48" s="170"/>
      <c r="R48" s="170"/>
      <c r="S48" s="170"/>
    </row>
    <row r="49" spans="1:19" x14ac:dyDescent="0.25">
      <c r="A49" s="170">
        <v>13</v>
      </c>
      <c r="B49" s="179" t="s">
        <v>247</v>
      </c>
      <c r="C49" s="182"/>
      <c r="D49" s="182"/>
      <c r="E49" s="182"/>
      <c r="F49" s="182"/>
      <c r="G49" s="182"/>
      <c r="H49" s="182"/>
      <c r="I49" s="182"/>
      <c r="J49" s="182"/>
      <c r="K49" s="182"/>
      <c r="L49" s="182"/>
      <c r="M49" s="182"/>
      <c r="N49" s="182"/>
      <c r="O49" s="170"/>
      <c r="R49" s="170"/>
      <c r="S49" s="170"/>
    </row>
    <row r="50" spans="1:19" x14ac:dyDescent="0.25">
      <c r="A50" s="170">
        <v>14</v>
      </c>
      <c r="B50" s="179" t="s">
        <v>248</v>
      </c>
      <c r="C50" s="182"/>
      <c r="D50" s="182"/>
      <c r="E50" s="182"/>
      <c r="F50" s="182"/>
      <c r="G50" s="182"/>
      <c r="H50" s="182"/>
      <c r="I50" s="182"/>
      <c r="J50" s="182"/>
      <c r="K50" s="182"/>
      <c r="L50" s="182"/>
      <c r="M50" s="182"/>
      <c r="N50" s="182"/>
      <c r="O50" s="170"/>
      <c r="R50" s="170"/>
      <c r="S50" s="170"/>
    </row>
    <row r="51" spans="1:19" x14ac:dyDescent="0.25">
      <c r="A51" s="170">
        <v>15</v>
      </c>
      <c r="B51" s="179" t="s">
        <v>249</v>
      </c>
      <c r="C51" s="182"/>
      <c r="D51" s="182"/>
      <c r="E51" s="182"/>
      <c r="F51" s="182"/>
      <c r="G51" s="182"/>
      <c r="H51" s="182"/>
      <c r="I51" s="182"/>
      <c r="J51" s="182"/>
      <c r="K51" s="182"/>
      <c r="L51" s="182"/>
      <c r="M51" s="182"/>
      <c r="N51" s="182"/>
      <c r="O51" s="170"/>
      <c r="R51" s="170"/>
      <c r="S51" s="170"/>
    </row>
    <row r="52" spans="1:19" x14ac:dyDescent="0.25">
      <c r="A52" s="170">
        <v>16</v>
      </c>
      <c r="B52" s="179" t="s">
        <v>250</v>
      </c>
      <c r="C52" s="182"/>
      <c r="D52" s="182"/>
      <c r="E52" s="182"/>
      <c r="F52" s="182"/>
      <c r="G52" s="182"/>
      <c r="H52" s="182"/>
      <c r="I52" s="182"/>
      <c r="J52" s="182"/>
      <c r="K52" s="182"/>
      <c r="L52" s="182"/>
      <c r="M52" s="182"/>
      <c r="N52" s="182"/>
      <c r="O52" s="170"/>
      <c r="R52" s="170"/>
      <c r="S52" s="170"/>
    </row>
    <row r="53" spans="1:19" x14ac:dyDescent="0.25">
      <c r="A53" s="170"/>
      <c r="B53" s="177" t="s">
        <v>251</v>
      </c>
      <c r="C53" s="182"/>
      <c r="D53" s="182"/>
      <c r="E53" s="182"/>
      <c r="F53" s="182"/>
      <c r="G53" s="182"/>
      <c r="H53" s="182"/>
      <c r="I53" s="182"/>
      <c r="J53" s="182"/>
      <c r="K53" s="182"/>
      <c r="L53" s="182"/>
      <c r="M53" s="182"/>
      <c r="N53" s="182"/>
      <c r="O53" s="170"/>
      <c r="R53" s="170"/>
      <c r="S53" s="170"/>
    </row>
    <row r="54" spans="1:19" x14ac:dyDescent="0.25">
      <c r="A54" s="170"/>
      <c r="B54" s="177" t="s">
        <v>163</v>
      </c>
      <c r="C54" s="170"/>
      <c r="D54" s="170"/>
      <c r="E54" s="170"/>
      <c r="F54" s="170"/>
      <c r="G54" s="170"/>
      <c r="H54" s="170"/>
      <c r="I54" s="170"/>
      <c r="J54" s="170"/>
      <c r="K54" s="170"/>
      <c r="L54" s="170"/>
      <c r="M54" s="170"/>
      <c r="N54" s="170">
        <f>SUM(N38:N53)</f>
        <v>0</v>
      </c>
      <c r="O54" s="170"/>
      <c r="R54" s="170"/>
      <c r="S54" s="170"/>
    </row>
    <row r="55" spans="1:19" x14ac:dyDescent="0.25">
      <c r="B55" s="648" t="s">
        <v>893</v>
      </c>
    </row>
    <row r="56" spans="1:19" x14ac:dyDescent="0.25">
      <c r="A56" s="170">
        <v>1</v>
      </c>
      <c r="B56" s="882" t="s">
        <v>451</v>
      </c>
      <c r="C56" s="170"/>
      <c r="D56" s="170"/>
      <c r="E56" s="170"/>
      <c r="F56" s="170"/>
      <c r="G56" s="170"/>
      <c r="H56" s="170"/>
      <c r="I56" s="170"/>
      <c r="J56" s="170"/>
      <c r="K56" s="170"/>
      <c r="L56" s="170"/>
      <c r="M56" s="170"/>
      <c r="N56" s="170"/>
      <c r="O56" s="170"/>
    </row>
    <row r="57" spans="1:19" x14ac:dyDescent="0.25">
      <c r="A57" s="170">
        <v>2</v>
      </c>
      <c r="B57" s="882" t="s">
        <v>452</v>
      </c>
      <c r="C57" s="170"/>
      <c r="D57" s="170"/>
      <c r="E57" s="170"/>
      <c r="F57" s="170"/>
      <c r="G57" s="170"/>
      <c r="H57" s="170"/>
      <c r="I57" s="170"/>
      <c r="J57" s="170"/>
      <c r="K57" s="170"/>
      <c r="L57" s="170"/>
      <c r="M57" s="170"/>
      <c r="N57" s="170"/>
      <c r="O57" s="170"/>
    </row>
    <row r="58" spans="1:19" x14ac:dyDescent="0.25">
      <c r="A58" s="170">
        <v>3</v>
      </c>
      <c r="B58" s="882" t="s">
        <v>453</v>
      </c>
      <c r="C58" s="170"/>
      <c r="D58" s="170"/>
      <c r="E58" s="170"/>
      <c r="F58" s="170"/>
      <c r="G58" s="170"/>
      <c r="H58" s="170"/>
      <c r="I58" s="170"/>
      <c r="J58" s="170"/>
      <c r="K58" s="170"/>
      <c r="L58" s="170"/>
      <c r="M58" s="170"/>
      <c r="N58" s="170"/>
      <c r="O58" s="170"/>
    </row>
    <row r="59" spans="1:19" x14ac:dyDescent="0.25">
      <c r="A59" s="170"/>
      <c r="B59" s="883" t="s">
        <v>894</v>
      </c>
      <c r="C59" s="170"/>
      <c r="D59" s="170"/>
      <c r="E59" s="170"/>
      <c r="F59" s="170"/>
      <c r="G59" s="170"/>
      <c r="H59" s="170"/>
      <c r="I59" s="170"/>
      <c r="J59" s="170"/>
      <c r="K59" s="170"/>
      <c r="L59" s="170"/>
      <c r="M59" s="170"/>
      <c r="N59" s="170"/>
      <c r="O59" s="170"/>
    </row>
    <row r="60" spans="1:19" x14ac:dyDescent="0.25">
      <c r="A60" s="170">
        <v>1</v>
      </c>
      <c r="B60" s="882" t="s">
        <v>895</v>
      </c>
      <c r="C60" s="170"/>
      <c r="D60" s="170"/>
      <c r="E60" s="170"/>
      <c r="F60" s="170"/>
      <c r="G60" s="170"/>
      <c r="H60" s="170"/>
      <c r="I60" s="170"/>
      <c r="J60" s="170"/>
      <c r="K60" s="170"/>
      <c r="L60" s="170"/>
      <c r="M60" s="170"/>
      <c r="N60" s="170"/>
      <c r="O60" s="170"/>
    </row>
    <row r="61" spans="1:19" x14ac:dyDescent="0.25">
      <c r="A61" s="170">
        <v>2</v>
      </c>
      <c r="B61" s="882" t="s">
        <v>123</v>
      </c>
      <c r="C61" s="170"/>
      <c r="D61" s="170"/>
      <c r="E61" s="170"/>
      <c r="F61" s="170"/>
      <c r="G61" s="170"/>
      <c r="H61" s="170"/>
      <c r="I61" s="170"/>
      <c r="J61" s="170"/>
      <c r="K61" s="170"/>
      <c r="L61" s="170"/>
      <c r="M61" s="170"/>
      <c r="N61" s="170"/>
      <c r="O61" s="170"/>
    </row>
  </sheetData>
  <mergeCells count="12">
    <mergeCell ref="A1:B1"/>
    <mergeCell ref="O3:O5"/>
    <mergeCell ref="C4:E4"/>
    <mergeCell ref="F4:I4"/>
    <mergeCell ref="R3:S4"/>
    <mergeCell ref="A2:B2"/>
    <mergeCell ref="A3:A5"/>
    <mergeCell ref="B3:B5"/>
    <mergeCell ref="C3:I3"/>
    <mergeCell ref="J3:N3"/>
    <mergeCell ref="J4:M4"/>
    <mergeCell ref="C1:E1"/>
  </mergeCells>
  <pageMargins left="0.70866141732283472" right="0.70866141732283472" top="0.74803149606299213" bottom="0.74803149606299213" header="0.31496062992125984" footer="0.31496062992125984"/>
  <pageSetup paperSize="9" scale="63"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view="pageBreakPreview" zoomScale="60" zoomScaleNormal="100" workbookViewId="0">
      <selection activeCell="I13" sqref="I13"/>
    </sheetView>
  </sheetViews>
  <sheetFormatPr defaultRowHeight="15" x14ac:dyDescent="0.25"/>
  <cols>
    <col min="1" max="1" width="6.7109375" customWidth="1"/>
    <col min="2" max="2" width="19" customWidth="1"/>
    <col min="3" max="3" width="10.28515625" customWidth="1"/>
    <col min="4" max="4" width="14.42578125" customWidth="1"/>
    <col min="5" max="5" width="34" customWidth="1"/>
    <col min="6" max="6" width="21.42578125" customWidth="1"/>
    <col min="7" max="7" width="17.28515625" bestFit="1" customWidth="1"/>
    <col min="8" max="8" width="11.7109375" bestFit="1" customWidth="1"/>
  </cols>
  <sheetData>
    <row r="1" spans="1:8" x14ac:dyDescent="0.25">
      <c r="A1" s="2019" t="s">
        <v>257</v>
      </c>
      <c r="B1" s="2019"/>
    </row>
    <row r="2" spans="1:8" x14ac:dyDescent="0.25">
      <c r="A2" s="2019" t="s">
        <v>258</v>
      </c>
      <c r="B2" s="2019"/>
      <c r="C2" t="s">
        <v>121</v>
      </c>
    </row>
    <row r="3" spans="1:8" ht="22.5" customHeight="1" x14ac:dyDescent="0.25">
      <c r="A3" s="374"/>
      <c r="C3" s="2031" t="s">
        <v>825</v>
      </c>
      <c r="D3" s="2031"/>
      <c r="E3" s="2031"/>
      <c r="F3" s="2031" t="s">
        <v>824</v>
      </c>
      <c r="G3" s="2031"/>
      <c r="H3" s="2031"/>
    </row>
    <row r="4" spans="1:8" s="15" customFormat="1" ht="86.25" customHeight="1" x14ac:dyDescent="0.25">
      <c r="A4" s="888" t="s">
        <v>918</v>
      </c>
      <c r="B4" s="888" t="s">
        <v>926</v>
      </c>
      <c r="C4" s="888" t="s">
        <v>919</v>
      </c>
      <c r="D4" s="888" t="s">
        <v>953</v>
      </c>
      <c r="E4" s="888" t="s">
        <v>921</v>
      </c>
      <c r="F4" s="888" t="s">
        <v>925</v>
      </c>
      <c r="G4" s="888" t="s">
        <v>852</v>
      </c>
      <c r="H4" s="889" t="s">
        <v>224</v>
      </c>
    </row>
    <row r="5" spans="1:8" x14ac:dyDescent="0.25">
      <c r="A5" s="170"/>
      <c r="B5" s="170"/>
      <c r="C5" s="170"/>
      <c r="D5" s="170"/>
      <c r="E5" s="170"/>
      <c r="F5" s="170"/>
      <c r="G5" s="170"/>
      <c r="H5" s="170"/>
    </row>
    <row r="6" spans="1:8" x14ac:dyDescent="0.25">
      <c r="A6" s="170"/>
      <c r="B6" s="170"/>
      <c r="C6" s="170"/>
      <c r="D6" s="170"/>
      <c r="E6" s="170"/>
      <c r="F6" s="170"/>
      <c r="G6" s="170"/>
      <c r="H6" s="170"/>
    </row>
    <row r="7" spans="1:8" x14ac:dyDescent="0.25">
      <c r="A7" s="170"/>
      <c r="B7" s="170"/>
      <c r="C7" s="170"/>
      <c r="D7" s="170"/>
      <c r="E7" s="170"/>
      <c r="F7" s="170"/>
      <c r="G7" s="170"/>
      <c r="H7" s="170"/>
    </row>
    <row r="8" spans="1:8" x14ac:dyDescent="0.25">
      <c r="A8" s="170"/>
      <c r="B8" s="170"/>
      <c r="C8" s="170"/>
      <c r="D8" s="170"/>
      <c r="E8" s="170"/>
      <c r="F8" s="170"/>
      <c r="G8" s="170"/>
      <c r="H8" s="170"/>
    </row>
    <row r="9" spans="1:8" x14ac:dyDescent="0.25">
      <c r="A9" s="170"/>
      <c r="B9" s="170"/>
      <c r="C9" s="170"/>
      <c r="D9" s="170"/>
      <c r="E9" s="170"/>
      <c r="F9" s="170"/>
      <c r="G9" s="170"/>
      <c r="H9" s="170"/>
    </row>
    <row r="10" spans="1:8" x14ac:dyDescent="0.25">
      <c r="A10" s="170"/>
      <c r="B10" s="170"/>
      <c r="C10" s="170"/>
      <c r="D10" s="170"/>
      <c r="E10" s="170"/>
      <c r="F10" s="170"/>
      <c r="G10" s="170"/>
      <c r="H10" s="170"/>
    </row>
    <row r="11" spans="1:8" x14ac:dyDescent="0.25">
      <c r="A11" s="170"/>
      <c r="B11" s="170"/>
      <c r="C11" s="170"/>
      <c r="D11" s="170"/>
      <c r="E11" s="170"/>
      <c r="F11" s="170"/>
      <c r="G11" s="170"/>
      <c r="H11" s="170"/>
    </row>
    <row r="12" spans="1:8" x14ac:dyDescent="0.25">
      <c r="A12" s="170"/>
      <c r="B12" s="170"/>
      <c r="C12" s="170"/>
      <c r="D12" s="170"/>
      <c r="E12" s="170"/>
      <c r="F12" s="170"/>
      <c r="G12" s="170"/>
      <c r="H12" s="170"/>
    </row>
    <row r="13" spans="1:8" x14ac:dyDescent="0.25">
      <c r="A13" s="170"/>
      <c r="B13" s="170"/>
      <c r="C13" s="170"/>
      <c r="D13" s="170"/>
      <c r="E13" s="170"/>
      <c r="F13" s="170"/>
      <c r="G13" s="170"/>
      <c r="H13" s="170"/>
    </row>
    <row r="14" spans="1:8" x14ac:dyDescent="0.25">
      <c r="A14" s="170"/>
      <c r="B14" s="170"/>
      <c r="C14" s="170"/>
      <c r="D14" s="170"/>
      <c r="E14" s="170"/>
      <c r="F14" s="170"/>
      <c r="G14" s="170"/>
      <c r="H14" s="170"/>
    </row>
    <row r="15" spans="1:8" x14ac:dyDescent="0.25">
      <c r="A15" s="170" t="s">
        <v>163</v>
      </c>
      <c r="B15" s="170"/>
      <c r="C15" s="170"/>
      <c r="D15" s="170"/>
      <c r="E15" s="170"/>
      <c r="F15" s="170"/>
      <c r="G15" s="170"/>
      <c r="H15" s="170"/>
    </row>
    <row r="17" spans="1:8" x14ac:dyDescent="0.25">
      <c r="A17" t="s">
        <v>920</v>
      </c>
    </row>
    <row r="18" spans="1:8" ht="37.5" customHeight="1" x14ac:dyDescent="0.25">
      <c r="A18" s="2032" t="s">
        <v>927</v>
      </c>
      <c r="B18" s="2032"/>
      <c r="C18" s="2032"/>
      <c r="D18" s="2032"/>
      <c r="E18" s="2032"/>
      <c r="F18" s="2032"/>
      <c r="G18" s="2032"/>
      <c r="H18" s="2032"/>
    </row>
    <row r="19" spans="1:8" x14ac:dyDescent="0.25">
      <c r="A19" t="s">
        <v>922</v>
      </c>
    </row>
    <row r="20" spans="1:8" x14ac:dyDescent="0.25">
      <c r="A20" t="s">
        <v>923</v>
      </c>
    </row>
    <row r="21" spans="1:8" x14ac:dyDescent="0.25">
      <c r="A21" t="s">
        <v>924</v>
      </c>
    </row>
  </sheetData>
  <mergeCells count="5">
    <mergeCell ref="A1:B1"/>
    <mergeCell ref="A2:B2"/>
    <mergeCell ref="C3:E3"/>
    <mergeCell ref="F3:H3"/>
    <mergeCell ref="A18:H18"/>
  </mergeCells>
  <pageMargins left="0.7" right="0.7" top="0.75" bottom="0.75" header="0.3" footer="0.3"/>
  <pageSetup scale="8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4</vt:i4>
      </vt:variant>
    </vt:vector>
  </HeadingPairs>
  <TitlesOfParts>
    <vt:vector size="18" baseType="lpstr">
      <vt:lpstr>Guidelines</vt:lpstr>
      <vt:lpstr>State PIP</vt:lpstr>
      <vt:lpstr>SOE Last four quarters</vt:lpstr>
      <vt:lpstr>List</vt:lpstr>
      <vt:lpstr>District</vt:lpstr>
      <vt:lpstr>Priority Areas</vt:lpstr>
      <vt:lpstr>Organization of services</vt:lpstr>
      <vt:lpstr>Contractual staff</vt:lpstr>
      <vt:lpstr>PP NGO Support</vt:lpstr>
      <vt:lpstr>RNTCP Training</vt:lpstr>
      <vt:lpstr>Districtwise Head summary</vt:lpstr>
      <vt:lpstr>Budget summary</vt:lpstr>
      <vt:lpstr>SOE Last four quarters (2)</vt:lpstr>
      <vt:lpstr>Norms</vt:lpstr>
      <vt:lpstr>Mixed</vt:lpstr>
      <vt:lpstr>Norm</vt:lpstr>
      <vt:lpstr>District!Print_Area</vt:lpstr>
      <vt:lpstr>'Organization of services'!Print_Titles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DR.MANOJ</dc:creator>
  <cp:lastModifiedBy>RNTCP Consultant</cp:lastModifiedBy>
  <cp:lastPrinted>2013-12-02T10:50:02Z</cp:lastPrinted>
  <dcterms:created xsi:type="dcterms:W3CDTF">2013-10-10T06:46:14Z</dcterms:created>
  <dcterms:modified xsi:type="dcterms:W3CDTF">2015-01-05T04:41:19Z</dcterms:modified>
</cp:coreProperties>
</file>