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15" windowWidth="12240" windowHeight="7455"/>
  </bookViews>
  <sheets>
    <sheet name="Guidelines" sheetId="16" r:id="rId1"/>
    <sheet name="State PIP" sheetId="8" r:id="rId2"/>
    <sheet name="SOE Last four quarters" sheetId="6" state="hidden" r:id="rId3"/>
    <sheet name="List" sheetId="11" state="hidden" r:id="rId4"/>
    <sheet name="District (2)" sheetId="23" r:id="rId5"/>
    <sheet name="Priority Areas" sheetId="15" r:id="rId6"/>
    <sheet name="Organization of services" sheetId="14" r:id="rId7"/>
    <sheet name="Contractual staff" sheetId="5" r:id="rId8"/>
    <sheet name="PP NGO Support" sheetId="22" r:id="rId9"/>
    <sheet name="RNTCP Training" sheetId="13" r:id="rId10"/>
    <sheet name="Districtwise Head summary" sheetId="1" state="hidden" r:id="rId11"/>
    <sheet name="Budget summary" sheetId="19" state="hidden" r:id="rId12"/>
    <sheet name="SOE Last four quarters (2)" sheetId="21" r:id="rId13"/>
    <sheet name="Norms" sheetId="7" r:id="rId14"/>
  </sheets>
  <externalReferences>
    <externalReference r:id="rId15"/>
  </externalReferences>
  <definedNames>
    <definedName name="Mixed">'State PIP'!$B$4</definedName>
    <definedName name="Norm">'State PIP'!$D$3</definedName>
    <definedName name="_xlnm.Print_Area" localSheetId="4">'District (2)'!$A$1:$U$335</definedName>
    <definedName name="_xlnm.Print_Titles" localSheetId="6">'Organization of services'!$A:$B</definedName>
  </definedNames>
  <calcPr calcId="145621"/>
</workbook>
</file>

<file path=xl/calcChain.xml><?xml version="1.0" encoding="utf-8"?>
<calcChain xmlns="http://schemas.openxmlformats.org/spreadsheetml/2006/main">
  <c r="F4" i="23" l="1"/>
  <c r="H11" i="23"/>
  <c r="H14" i="23" s="1"/>
  <c r="H37" i="23"/>
  <c r="I37" i="23"/>
  <c r="K37" i="23" s="1"/>
  <c r="J37" i="23"/>
  <c r="J49" i="23" s="1"/>
  <c r="H38" i="23"/>
  <c r="I38" i="23"/>
  <c r="K38" i="23" s="1"/>
  <c r="J38" i="23"/>
  <c r="H40" i="23"/>
  <c r="I40" i="23"/>
  <c r="K40" i="23" s="1"/>
  <c r="J40" i="23"/>
  <c r="H41" i="23"/>
  <c r="I41" i="23"/>
  <c r="K41" i="23" s="1"/>
  <c r="J41" i="23"/>
  <c r="H42" i="23"/>
  <c r="I42" i="23"/>
  <c r="K42" i="23" s="1"/>
  <c r="J42" i="23"/>
  <c r="H43" i="23"/>
  <c r="I43" i="23"/>
  <c r="K43" i="23"/>
  <c r="H44" i="23"/>
  <c r="I44" i="23"/>
  <c r="J44" i="23"/>
  <c r="K44" i="23"/>
  <c r="H45" i="23"/>
  <c r="I45" i="23"/>
  <c r="J45" i="23"/>
  <c r="K45" i="23"/>
  <c r="H46" i="23"/>
  <c r="I46" i="23"/>
  <c r="J46" i="23"/>
  <c r="K46" i="23"/>
  <c r="H47" i="23"/>
  <c r="I47" i="23"/>
  <c r="J47" i="23"/>
  <c r="K47" i="23"/>
  <c r="H48" i="23"/>
  <c r="I48" i="23"/>
  <c r="J48" i="23"/>
  <c r="K48" i="23"/>
  <c r="F49" i="23"/>
  <c r="G49" i="23"/>
  <c r="H49" i="23"/>
  <c r="I296" i="23" s="1"/>
  <c r="I49" i="23"/>
  <c r="C57" i="23"/>
  <c r="D57" i="23"/>
  <c r="E57" i="23"/>
  <c r="F57" i="23"/>
  <c r="G57" i="23"/>
  <c r="H57" i="23"/>
  <c r="C68" i="23"/>
  <c r="E68" i="23"/>
  <c r="F68" i="23"/>
  <c r="G68" i="23"/>
  <c r="H68" i="23"/>
  <c r="F76" i="23"/>
  <c r="G76" i="23"/>
  <c r="H76" i="23"/>
  <c r="G81" i="23"/>
  <c r="H86" i="23"/>
  <c r="H87" i="23"/>
  <c r="H99" i="23" s="1"/>
  <c r="H88" i="23"/>
  <c r="H89" i="23"/>
  <c r="H90" i="23"/>
  <c r="H91" i="23"/>
  <c r="H92" i="23"/>
  <c r="H93" i="23"/>
  <c r="H94" i="23"/>
  <c r="H95" i="23"/>
  <c r="H96" i="23"/>
  <c r="H97" i="23"/>
  <c r="H98" i="23"/>
  <c r="B99" i="23"/>
  <c r="C99" i="23"/>
  <c r="D99" i="23"/>
  <c r="E99" i="23"/>
  <c r="F99" i="23"/>
  <c r="G99" i="23"/>
  <c r="I99" i="23"/>
  <c r="D104" i="23"/>
  <c r="D117" i="23" s="1"/>
  <c r="D105" i="23"/>
  <c r="D106" i="23"/>
  <c r="D107" i="23"/>
  <c r="D108" i="23"/>
  <c r="D109" i="23"/>
  <c r="D112" i="23"/>
  <c r="E117" i="23"/>
  <c r="F117" i="23"/>
  <c r="G117" i="23"/>
  <c r="A122" i="23"/>
  <c r="D127" i="23"/>
  <c r="B128" i="23"/>
  <c r="B142" i="23" s="1"/>
  <c r="B141" i="23" s="1"/>
  <c r="D128" i="23"/>
  <c r="E129" i="23"/>
  <c r="E135" i="23" s="1"/>
  <c r="F129" i="23"/>
  <c r="G129" i="23"/>
  <c r="H129" i="23"/>
  <c r="B130" i="23"/>
  <c r="B129" i="23" s="1"/>
  <c r="D130" i="23"/>
  <c r="B131" i="23"/>
  <c r="D131" i="23"/>
  <c r="D129" i="23" s="1"/>
  <c r="B132" i="23"/>
  <c r="E132" i="23"/>
  <c r="F132" i="23"/>
  <c r="G132" i="23"/>
  <c r="G135" i="23" s="1"/>
  <c r="I302" i="23" s="1"/>
  <c r="H132" i="23"/>
  <c r="D133" i="23"/>
  <c r="D134" i="23"/>
  <c r="D132" i="23" s="1"/>
  <c r="D140" i="23"/>
  <c r="C141" i="23"/>
  <c r="E141" i="23"/>
  <c r="E144" i="23" s="1"/>
  <c r="F141" i="23"/>
  <c r="G141" i="23"/>
  <c r="D142" i="23"/>
  <c r="D141" i="23" s="1"/>
  <c r="D143" i="23"/>
  <c r="F144" i="23"/>
  <c r="G144" i="23"/>
  <c r="I303" i="23" s="1"/>
  <c r="B149" i="23"/>
  <c r="E152" i="23"/>
  <c r="F152" i="23"/>
  <c r="G152" i="23"/>
  <c r="D176" i="23"/>
  <c r="D195" i="23" s="1"/>
  <c r="D177" i="23"/>
  <c r="D181" i="23"/>
  <c r="D186" i="23"/>
  <c r="D193" i="23"/>
  <c r="D194" i="23"/>
  <c r="E195" i="23"/>
  <c r="F195" i="23"/>
  <c r="G195" i="23"/>
  <c r="H195" i="23"/>
  <c r="B200" i="23"/>
  <c r="B206" i="23"/>
  <c r="B208" i="23" s="1"/>
  <c r="B207" i="23"/>
  <c r="C208" i="23"/>
  <c r="E208" i="23"/>
  <c r="G208" i="23"/>
  <c r="A218" i="23"/>
  <c r="C233" i="23"/>
  <c r="D233" i="23"/>
  <c r="E233" i="23"/>
  <c r="F233" i="23"/>
  <c r="G233" i="23"/>
  <c r="H233" i="23"/>
  <c r="E239" i="23"/>
  <c r="E240" i="23"/>
  <c r="E242" i="23"/>
  <c r="E243" i="23"/>
  <c r="E244" i="23" s="1"/>
  <c r="G244" i="23"/>
  <c r="E254" i="23"/>
  <c r="E255" i="23"/>
  <c r="E256" i="23"/>
  <c r="E257" i="23"/>
  <c r="E258" i="23"/>
  <c r="E259" i="23"/>
  <c r="E267" i="23" s="1"/>
  <c r="E260" i="23"/>
  <c r="E261" i="23"/>
  <c r="E263" i="23"/>
  <c r="G267" i="23"/>
  <c r="I312" i="23" s="1"/>
  <c r="C278" i="23"/>
  <c r="E278" i="23"/>
  <c r="F278" i="23"/>
  <c r="G278" i="23"/>
  <c r="C283" i="23"/>
  <c r="C289" i="23" s="1"/>
  <c r="D289" i="23"/>
  <c r="E289" i="23"/>
  <c r="G289" i="23"/>
  <c r="I297" i="23"/>
  <c r="I298" i="23"/>
  <c r="I299" i="23"/>
  <c r="I300" i="23"/>
  <c r="I301" i="23"/>
  <c r="I304" i="23"/>
  <c r="I305" i="23"/>
  <c r="I306" i="23"/>
  <c r="I307" i="23"/>
  <c r="I308" i="23"/>
  <c r="I309" i="23"/>
  <c r="I310" i="23"/>
  <c r="I311" i="23"/>
  <c r="I313" i="23"/>
  <c r="I314" i="23"/>
  <c r="D315" i="23"/>
  <c r="E315" i="23"/>
  <c r="F315" i="23"/>
  <c r="G315" i="23"/>
  <c r="H315" i="23"/>
  <c r="F316" i="23"/>
  <c r="I316" i="23"/>
  <c r="D317" i="23"/>
  <c r="E317" i="23"/>
  <c r="F317" i="23"/>
  <c r="G317" i="23"/>
  <c r="H317" i="23"/>
  <c r="F333" i="23"/>
  <c r="H333" i="23"/>
  <c r="A1048526" i="23"/>
  <c r="E1048526" i="23"/>
  <c r="G1048526" i="23"/>
  <c r="A1048527" i="23"/>
  <c r="B1048527" i="23"/>
  <c r="C1048527" i="23"/>
  <c r="E1048527" i="23"/>
  <c r="A1048528" i="23"/>
  <c r="B1048528" i="23"/>
  <c r="C1048528" i="23"/>
  <c r="A1048529" i="23"/>
  <c r="A1048533" i="23"/>
  <c r="B1048533" i="23"/>
  <c r="C1048533" i="23"/>
  <c r="D1048533" i="23"/>
  <c r="E1048533" i="23"/>
  <c r="F1048533" i="23"/>
  <c r="G1048533" i="23"/>
  <c r="I1048533" i="23"/>
  <c r="J1048533" i="23"/>
  <c r="K1048533" i="23"/>
  <c r="L1048533" i="23"/>
  <c r="M1048533" i="23"/>
  <c r="N1048533" i="23"/>
  <c r="O1048533" i="23"/>
  <c r="A1048534" i="23"/>
  <c r="B1048534" i="23"/>
  <c r="C1048534" i="23"/>
  <c r="D1048534" i="23"/>
  <c r="E1048534" i="23"/>
  <c r="F1048534" i="23"/>
  <c r="G1048534" i="23"/>
  <c r="I1048534" i="23"/>
  <c r="J1048534" i="23"/>
  <c r="K1048534" i="23"/>
  <c r="L1048534" i="23"/>
  <c r="M1048534" i="23"/>
  <c r="N1048534" i="23"/>
  <c r="O1048534" i="23"/>
  <c r="A1048535" i="23"/>
  <c r="B1048535" i="23"/>
  <c r="C1048535" i="23"/>
  <c r="D1048535" i="23"/>
  <c r="E1048535" i="23"/>
  <c r="F1048535" i="23"/>
  <c r="G1048535" i="23"/>
  <c r="I1048535" i="23"/>
  <c r="J1048535" i="23"/>
  <c r="K1048535" i="23"/>
  <c r="L1048535" i="23"/>
  <c r="M1048535" i="23"/>
  <c r="N1048535" i="23"/>
  <c r="O1048535" i="23"/>
  <c r="A1048536" i="23"/>
  <c r="B1048536" i="23"/>
  <c r="C1048536" i="23"/>
  <c r="D1048536" i="23"/>
  <c r="E1048536" i="23"/>
  <c r="F1048536" i="23"/>
  <c r="G1048536" i="23"/>
  <c r="I1048536" i="23"/>
  <c r="J1048536" i="23"/>
  <c r="K1048536" i="23"/>
  <c r="L1048536" i="23"/>
  <c r="M1048536" i="23"/>
  <c r="N1048536" i="23"/>
  <c r="O1048536" i="23"/>
  <c r="A1048537" i="23"/>
  <c r="B1048537" i="23"/>
  <c r="C1048537" i="23"/>
  <c r="D1048537" i="23"/>
  <c r="E1048537" i="23"/>
  <c r="F1048537" i="23"/>
  <c r="G1048537" i="23"/>
  <c r="I1048537" i="23"/>
  <c r="J1048537" i="23"/>
  <c r="K1048537" i="23"/>
  <c r="L1048537" i="23"/>
  <c r="M1048537" i="23"/>
  <c r="N1048537" i="23"/>
  <c r="O1048537" i="23"/>
  <c r="I1048538" i="23"/>
  <c r="J1048538" i="23"/>
  <c r="K1048538" i="23"/>
  <c r="L1048538" i="23"/>
  <c r="M1048538" i="23"/>
  <c r="N1048538" i="23"/>
  <c r="O1048538" i="23"/>
  <c r="K49" i="23" l="1"/>
  <c r="D135" i="23"/>
  <c r="I315" i="23"/>
  <c r="I317" i="23" s="1"/>
  <c r="D144" i="23"/>
  <c r="B151" i="23"/>
  <c r="B152" i="23" s="1"/>
  <c r="L329" i="8" l="1"/>
  <c r="J329" i="8"/>
  <c r="H329" i="8"/>
  <c r="H354" i="8"/>
  <c r="L354" i="8"/>
  <c r="D74" i="8"/>
  <c r="J435" i="8"/>
  <c r="H435" i="8"/>
  <c r="F435" i="8"/>
  <c r="J450" i="8"/>
  <c r="H450" i="8"/>
  <c r="F450" i="8"/>
  <c r="G237" i="8"/>
  <c r="F237" i="8"/>
  <c r="J451" i="8" l="1"/>
  <c r="F451" i="8"/>
  <c r="I410" i="8" s="1"/>
  <c r="H451" i="8"/>
  <c r="I137" i="8" l="1"/>
  <c r="G137" i="8"/>
  <c r="E137" i="8"/>
  <c r="K133" i="8"/>
  <c r="D133" i="8"/>
  <c r="J235" i="8" l="1"/>
  <c r="J234" i="8"/>
  <c r="J233" i="8"/>
  <c r="J232" i="8"/>
  <c r="J231" i="8"/>
  <c r="J177" i="8"/>
  <c r="C1" i="5" l="1"/>
  <c r="H418" i="8" l="1"/>
  <c r="G418" i="8"/>
  <c r="F418" i="8"/>
  <c r="E418" i="8"/>
  <c r="D418" i="8"/>
  <c r="C418" i="8"/>
  <c r="C84" i="8"/>
  <c r="C83" i="8"/>
  <c r="C82" i="8"/>
  <c r="C81" i="8"/>
  <c r="C80" i="8"/>
  <c r="C79" i="8"/>
  <c r="J41" i="8"/>
  <c r="J40" i="8"/>
  <c r="D165" i="8"/>
  <c r="D166" i="8"/>
  <c r="C168" i="8"/>
  <c r="E168" i="8"/>
  <c r="F168" i="8"/>
  <c r="H168" i="8"/>
  <c r="C86" i="8" l="1"/>
  <c r="H291" i="8"/>
  <c r="F291" i="8"/>
  <c r="D291" i="8"/>
  <c r="I157" i="8"/>
  <c r="G157" i="8"/>
  <c r="E157" i="8"/>
  <c r="C154" i="8"/>
  <c r="J48" i="8"/>
  <c r="I48" i="8"/>
  <c r="I47" i="8"/>
  <c r="I46" i="8"/>
  <c r="J39" i="8"/>
  <c r="J42" i="8"/>
  <c r="J43" i="8"/>
  <c r="J44" i="8"/>
  <c r="I44" i="8"/>
  <c r="I43" i="8"/>
  <c r="I42" i="8"/>
  <c r="I41" i="8"/>
  <c r="I40" i="8"/>
  <c r="I39" i="8"/>
  <c r="G7" i="7"/>
  <c r="H7" i="7"/>
  <c r="I7" i="7"/>
  <c r="G8" i="7"/>
  <c r="H8" i="7"/>
  <c r="I8" i="7"/>
  <c r="G9" i="7"/>
  <c r="H9" i="7"/>
  <c r="G10" i="7"/>
  <c r="H10" i="7"/>
  <c r="I10" i="7"/>
  <c r="G11" i="7"/>
  <c r="H11" i="7"/>
  <c r="I11" i="7"/>
  <c r="G12" i="7"/>
  <c r="H12" i="7"/>
  <c r="I12" i="7"/>
  <c r="G13" i="7"/>
  <c r="H13" i="7"/>
  <c r="I13" i="7"/>
  <c r="G14" i="7"/>
  <c r="H14" i="7"/>
  <c r="I14" i="7"/>
  <c r="G15" i="7"/>
  <c r="H15" i="7"/>
  <c r="I15" i="7"/>
  <c r="G16" i="7"/>
  <c r="H16" i="7"/>
  <c r="I16" i="7"/>
  <c r="G17" i="7"/>
  <c r="H17" i="7"/>
  <c r="I17" i="7"/>
  <c r="G18" i="7"/>
  <c r="H18" i="7"/>
  <c r="I18" i="7"/>
  <c r="G19" i="7"/>
  <c r="H19" i="7"/>
  <c r="I19" i="7"/>
  <c r="G20" i="7"/>
  <c r="H20" i="7"/>
  <c r="I20" i="7"/>
  <c r="H6" i="7"/>
  <c r="I6" i="7"/>
  <c r="G6" i="7"/>
  <c r="N34" i="5" l="1"/>
  <c r="M34" i="5"/>
  <c r="L34" i="5"/>
  <c r="K34" i="5"/>
  <c r="J34" i="5"/>
  <c r="I34" i="5"/>
  <c r="H34" i="5"/>
  <c r="G34" i="5"/>
  <c r="F34" i="5"/>
  <c r="E34" i="5"/>
  <c r="D34" i="5"/>
  <c r="C34" i="5"/>
  <c r="E299" i="8"/>
  <c r="B270" i="8"/>
  <c r="J199" i="8"/>
  <c r="J198" i="8"/>
  <c r="J230" i="8"/>
  <c r="J100" i="8"/>
  <c r="M410" i="8"/>
  <c r="L410" i="8"/>
  <c r="K410" i="8"/>
  <c r="H409" i="8"/>
  <c r="G409" i="8"/>
  <c r="G411" i="8" s="1"/>
  <c r="F409" i="8"/>
  <c r="F411" i="8" s="1"/>
  <c r="E409" i="8"/>
  <c r="E411" i="8" s="1"/>
  <c r="D409" i="8"/>
  <c r="D411" i="8" s="1"/>
  <c r="L408" i="8"/>
  <c r="K408" i="8"/>
  <c r="L407" i="8"/>
  <c r="K407" i="8"/>
  <c r="L406" i="8"/>
  <c r="K406" i="8"/>
  <c r="L405" i="8"/>
  <c r="K405" i="8"/>
  <c r="L404" i="8"/>
  <c r="K404" i="8"/>
  <c r="L403" i="8"/>
  <c r="K403" i="8"/>
  <c r="L402" i="8"/>
  <c r="K402" i="8"/>
  <c r="L401" i="8"/>
  <c r="K401" i="8"/>
  <c r="L400" i="8"/>
  <c r="K400" i="8"/>
  <c r="L399" i="8"/>
  <c r="K399" i="8"/>
  <c r="L398" i="8"/>
  <c r="K398" i="8"/>
  <c r="L397" i="8"/>
  <c r="K397" i="8"/>
  <c r="L396" i="8"/>
  <c r="K396" i="8"/>
  <c r="L395" i="8"/>
  <c r="K395" i="8"/>
  <c r="L394" i="8"/>
  <c r="K394" i="8"/>
  <c r="L393" i="8"/>
  <c r="K393" i="8"/>
  <c r="L392" i="8"/>
  <c r="K392" i="8"/>
  <c r="L391" i="8"/>
  <c r="K391" i="8"/>
  <c r="J376" i="8"/>
  <c r="J375" i="8"/>
  <c r="J374" i="8"/>
  <c r="J373" i="8"/>
  <c r="J372" i="8"/>
  <c r="J371" i="8"/>
  <c r="C371" i="8"/>
  <c r="M364" i="8"/>
  <c r="M363" i="8"/>
  <c r="M362" i="8"/>
  <c r="M361" i="8"/>
  <c r="M360" i="8"/>
  <c r="E325" i="8"/>
  <c r="E324" i="8"/>
  <c r="E323" i="8"/>
  <c r="E322" i="8"/>
  <c r="E321" i="8"/>
  <c r="E320" i="8"/>
  <c r="E319" i="8"/>
  <c r="E318" i="8"/>
  <c r="A310" i="8"/>
  <c r="L306" i="8"/>
  <c r="E306" i="8"/>
  <c r="L305" i="8"/>
  <c r="E305" i="8"/>
  <c r="L303" i="8"/>
  <c r="E303" i="8"/>
  <c r="L302" i="8"/>
  <c r="E302" i="8"/>
  <c r="L299" i="8"/>
  <c r="L298" i="8"/>
  <c r="E298" i="8"/>
  <c r="H282" i="8"/>
  <c r="I404" i="8" s="1"/>
  <c r="M270" i="8"/>
  <c r="F271" i="8"/>
  <c r="M269" i="8"/>
  <c r="J269" i="8"/>
  <c r="B269" i="8"/>
  <c r="M263" i="8"/>
  <c r="I264" i="8"/>
  <c r="I402" i="8" s="1"/>
  <c r="D264" i="8"/>
  <c r="M262" i="8"/>
  <c r="J262" i="8"/>
  <c r="I257" i="8"/>
  <c r="H257" i="8"/>
  <c r="F257" i="8"/>
  <c r="D257" i="8"/>
  <c r="M256" i="8"/>
  <c r="M255" i="8"/>
  <c r="M254" i="8"/>
  <c r="M253" i="8"/>
  <c r="M252" i="8"/>
  <c r="M251" i="8"/>
  <c r="M250" i="8"/>
  <c r="M249" i="8"/>
  <c r="M247" i="8"/>
  <c r="J247" i="8"/>
  <c r="M246" i="8"/>
  <c r="J246" i="8"/>
  <c r="M245" i="8"/>
  <c r="J245" i="8"/>
  <c r="M244" i="8"/>
  <c r="J244" i="8"/>
  <c r="M243" i="8"/>
  <c r="J243" i="8"/>
  <c r="B243" i="8"/>
  <c r="J236" i="8"/>
  <c r="J228" i="8"/>
  <c r="J227" i="8"/>
  <c r="I220" i="8"/>
  <c r="I219" i="8"/>
  <c r="D219" i="8"/>
  <c r="J211" i="8"/>
  <c r="J197" i="8"/>
  <c r="I181" i="8"/>
  <c r="J178" i="8"/>
  <c r="E181" i="8"/>
  <c r="I171" i="8"/>
  <c r="G171" i="8"/>
  <c r="D170" i="8"/>
  <c r="J166" i="8"/>
  <c r="J165" i="8"/>
  <c r="J159" i="8"/>
  <c r="H159" i="8"/>
  <c r="F159" i="8"/>
  <c r="D159" i="8"/>
  <c r="J158" i="8"/>
  <c r="H158" i="8"/>
  <c r="F158" i="8"/>
  <c r="J156" i="8"/>
  <c r="H156" i="8"/>
  <c r="F156" i="8"/>
  <c r="J155" i="8"/>
  <c r="I154" i="8"/>
  <c r="H155" i="8"/>
  <c r="G154" i="8"/>
  <c r="F155" i="8"/>
  <c r="D155" i="8"/>
  <c r="B155" i="8"/>
  <c r="J153" i="8"/>
  <c r="H153" i="8"/>
  <c r="F153" i="8"/>
  <c r="D153" i="8"/>
  <c r="J152" i="8"/>
  <c r="H152" i="8"/>
  <c r="F152" i="8"/>
  <c r="D152" i="8"/>
  <c r="K151" i="8"/>
  <c r="D151" i="8"/>
  <c r="K150" i="8"/>
  <c r="D150" i="8"/>
  <c r="K144" i="8"/>
  <c r="B144" i="8"/>
  <c r="G145" i="8"/>
  <c r="E145" i="8"/>
  <c r="C145" i="8"/>
  <c r="D134" i="8"/>
  <c r="D132" i="8"/>
  <c r="D131" i="8"/>
  <c r="D130" i="8"/>
  <c r="D129" i="8"/>
  <c r="D128" i="8"/>
  <c r="D127" i="8"/>
  <c r="D125" i="8"/>
  <c r="J123" i="8"/>
  <c r="I123" i="8"/>
  <c r="H123" i="8"/>
  <c r="G123" i="8"/>
  <c r="F123" i="8"/>
  <c r="E123" i="8"/>
  <c r="K122" i="8"/>
  <c r="K121" i="8"/>
  <c r="K120" i="8"/>
  <c r="K119" i="8"/>
  <c r="K118" i="8"/>
  <c r="K117" i="8"/>
  <c r="D117" i="8"/>
  <c r="K116" i="8"/>
  <c r="D116" i="8"/>
  <c r="K115" i="8"/>
  <c r="D115" i="8"/>
  <c r="K114" i="8"/>
  <c r="K113" i="8"/>
  <c r="D113" i="8"/>
  <c r="K112" i="8"/>
  <c r="D112" i="8"/>
  <c r="K111" i="8"/>
  <c r="D111" i="8"/>
  <c r="K110" i="8"/>
  <c r="D110" i="8"/>
  <c r="K109" i="8"/>
  <c r="D109" i="8"/>
  <c r="E103" i="8"/>
  <c r="B103" i="8"/>
  <c r="J101" i="8"/>
  <c r="G101" i="8"/>
  <c r="F94" i="8"/>
  <c r="C71" i="8"/>
  <c r="J70" i="8"/>
  <c r="J69" i="8"/>
  <c r="C69" i="8"/>
  <c r="K59" i="8"/>
  <c r="G49" i="8"/>
  <c r="F49" i="8"/>
  <c r="E49" i="8"/>
  <c r="D49" i="8"/>
  <c r="H48" i="8"/>
  <c r="J47" i="8"/>
  <c r="H47" i="8"/>
  <c r="J46" i="8"/>
  <c r="H46" i="8"/>
  <c r="H42" i="8"/>
  <c r="H41" i="8"/>
  <c r="H40" i="8"/>
  <c r="H39" i="8"/>
  <c r="F3" i="8"/>
  <c r="J154" i="8" l="1"/>
  <c r="F154" i="8"/>
  <c r="H154" i="8"/>
  <c r="F157" i="8"/>
  <c r="H157" i="8"/>
  <c r="J71" i="8"/>
  <c r="K42" i="8"/>
  <c r="B145" i="8"/>
  <c r="J379" i="8"/>
  <c r="D214" i="8"/>
  <c r="D237" i="8" s="1"/>
  <c r="J364" i="8"/>
  <c r="L255" i="8"/>
  <c r="I49" i="8"/>
  <c r="G94" i="8"/>
  <c r="H44" i="8"/>
  <c r="F171" i="8"/>
  <c r="J170" i="8"/>
  <c r="K127" i="8"/>
  <c r="J250" i="8"/>
  <c r="J251" i="8"/>
  <c r="J253" i="8"/>
  <c r="J214" i="8"/>
  <c r="J215" i="8"/>
  <c r="K129" i="8"/>
  <c r="K153" i="8"/>
  <c r="M171" i="8"/>
  <c r="H171" i="8"/>
  <c r="I398" i="8" s="1"/>
  <c r="L251" i="8"/>
  <c r="M271" i="8"/>
  <c r="L270" i="8"/>
  <c r="J381" i="8"/>
  <c r="J49" i="8"/>
  <c r="K48" i="8"/>
  <c r="H94" i="8"/>
  <c r="K125" i="8"/>
  <c r="K145" i="8"/>
  <c r="J222" i="8"/>
  <c r="J224" i="8"/>
  <c r="K47" i="8"/>
  <c r="H86" i="8"/>
  <c r="I393" i="8" s="1"/>
  <c r="G103" i="8"/>
  <c r="K135" i="8"/>
  <c r="J180" i="8"/>
  <c r="J203" i="8"/>
  <c r="J226" i="8"/>
  <c r="J360" i="8"/>
  <c r="L362" i="8"/>
  <c r="H74" i="8"/>
  <c r="I392" i="8" s="1"/>
  <c r="J72" i="8"/>
  <c r="J249" i="8"/>
  <c r="B153" i="8"/>
  <c r="B169" i="8" s="1"/>
  <c r="B168" i="8" s="1"/>
  <c r="J80" i="8"/>
  <c r="J82" i="8"/>
  <c r="J85" i="8"/>
  <c r="C103" i="8"/>
  <c r="J103" i="8" s="1"/>
  <c r="H103" i="8"/>
  <c r="I394" i="8" s="1"/>
  <c r="K128" i="8"/>
  <c r="K143" i="8"/>
  <c r="D169" i="8"/>
  <c r="J169" i="8"/>
  <c r="G181" i="8"/>
  <c r="J210" i="8"/>
  <c r="J255" i="8"/>
  <c r="L256" i="8"/>
  <c r="C384" i="8"/>
  <c r="J382" i="8"/>
  <c r="L360" i="8"/>
  <c r="C365" i="8"/>
  <c r="K54" i="8"/>
  <c r="K62" i="8"/>
  <c r="F86" i="8"/>
  <c r="K131" i="8"/>
  <c r="K132" i="8"/>
  <c r="K155" i="8"/>
  <c r="M181" i="8"/>
  <c r="J179" i="8"/>
  <c r="J252" i="8"/>
  <c r="H49" i="8"/>
  <c r="L253" i="8"/>
  <c r="H181" i="8"/>
  <c r="I399" i="8" s="1"/>
  <c r="K55" i="8"/>
  <c r="E138" i="8"/>
  <c r="J157" i="8"/>
  <c r="J160" i="8" s="1"/>
  <c r="J167" i="8"/>
  <c r="G58" i="8"/>
  <c r="G64" i="8" s="1"/>
  <c r="D123" i="8"/>
  <c r="L263" i="8"/>
  <c r="L307" i="8"/>
  <c r="K44" i="8"/>
  <c r="F58" i="8"/>
  <c r="F64" i="8" s="1"/>
  <c r="K56" i="8"/>
  <c r="K63" i="8"/>
  <c r="F74" i="8"/>
  <c r="J81" i="8"/>
  <c r="J84" i="8"/>
  <c r="I138" i="8"/>
  <c r="I395" i="8" s="1"/>
  <c r="K130" i="8"/>
  <c r="K134" i="8"/>
  <c r="K136" i="8"/>
  <c r="J145" i="8"/>
  <c r="I396" i="8" s="1"/>
  <c r="G160" i="8"/>
  <c r="K156" i="8"/>
  <c r="J176" i="8"/>
  <c r="J201" i="8"/>
  <c r="J217" i="8"/>
  <c r="J219" i="8"/>
  <c r="B271" i="8"/>
  <c r="J383" i="8"/>
  <c r="K43" i="8"/>
  <c r="K53" i="8"/>
  <c r="G138" i="8"/>
  <c r="I400" i="8"/>
  <c r="L252" i="8"/>
  <c r="J254" i="8"/>
  <c r="H307" i="8"/>
  <c r="I405" i="8" s="1"/>
  <c r="L361" i="8"/>
  <c r="J363" i="8"/>
  <c r="K46" i="8"/>
  <c r="K52" i="8"/>
  <c r="J73" i="8"/>
  <c r="G86" i="8"/>
  <c r="J83" i="8"/>
  <c r="K152" i="8"/>
  <c r="K159" i="8"/>
  <c r="J206" i="8"/>
  <c r="J207" i="8"/>
  <c r="J209" i="8"/>
  <c r="J212" i="8"/>
  <c r="L250" i="8"/>
  <c r="J362" i="8"/>
  <c r="L363" i="8"/>
  <c r="L364" i="8"/>
  <c r="H384" i="8"/>
  <c r="I408" i="8" s="1"/>
  <c r="J380" i="8"/>
  <c r="B157" i="8"/>
  <c r="D137" i="8"/>
  <c r="J58" i="8"/>
  <c r="K57" i="8"/>
  <c r="E355" i="8"/>
  <c r="K158" i="8"/>
  <c r="J263" i="8"/>
  <c r="B264" i="8"/>
  <c r="J264" i="8" s="1"/>
  <c r="E365" i="8"/>
  <c r="K411" i="8"/>
  <c r="D58" i="8"/>
  <c r="B156" i="8"/>
  <c r="B154" i="8" s="1"/>
  <c r="D158" i="8"/>
  <c r="D157" i="8" s="1"/>
  <c r="C157" i="8"/>
  <c r="L249" i="8"/>
  <c r="M257" i="8"/>
  <c r="E257" i="8"/>
  <c r="H271" i="8"/>
  <c r="I403" i="8" s="1"/>
  <c r="J378" i="8"/>
  <c r="E384" i="8"/>
  <c r="K39" i="8"/>
  <c r="H43" i="8"/>
  <c r="K60" i="8"/>
  <c r="K123" i="8"/>
  <c r="M160" i="8"/>
  <c r="D156" i="8"/>
  <c r="D154" i="8" s="1"/>
  <c r="I160" i="8"/>
  <c r="I397" i="8" s="1"/>
  <c r="I406" i="8"/>
  <c r="M365" i="8"/>
  <c r="F384" i="8"/>
  <c r="L409" i="8"/>
  <c r="H411" i="8"/>
  <c r="L411" i="8" s="1"/>
  <c r="E58" i="8"/>
  <c r="K61" i="8"/>
  <c r="C74" i="8"/>
  <c r="E86" i="8"/>
  <c r="J79" i="8"/>
  <c r="I86" i="8"/>
  <c r="J102" i="8"/>
  <c r="H160" i="8"/>
  <c r="E154" i="8"/>
  <c r="K154" i="8" s="1"/>
  <c r="J202" i="8"/>
  <c r="J205" i="8"/>
  <c r="C257" i="8"/>
  <c r="G257" i="8"/>
  <c r="I401" i="8" s="1"/>
  <c r="J256" i="8"/>
  <c r="M264" i="8"/>
  <c r="E307" i="8"/>
  <c r="L355" i="8"/>
  <c r="F365" i="8"/>
  <c r="J361" i="8"/>
  <c r="K409" i="8"/>
  <c r="F160" i="8"/>
  <c r="D271" i="8"/>
  <c r="J271" i="8" s="1"/>
  <c r="J270" i="8"/>
  <c r="H365" i="8"/>
  <c r="I407" i="8" s="1"/>
  <c r="F181" i="8"/>
  <c r="J216" i="8"/>
  <c r="J220" i="8"/>
  <c r="B257" i="8"/>
  <c r="L254" i="8"/>
  <c r="D168" i="8" l="1"/>
  <c r="D171" i="8" s="1"/>
  <c r="K157" i="8"/>
  <c r="J168" i="8"/>
  <c r="K49" i="8"/>
  <c r="J74" i="8"/>
  <c r="L171" i="8"/>
  <c r="L181" i="8"/>
  <c r="J181" i="8"/>
  <c r="J86" i="8"/>
  <c r="E171" i="8"/>
  <c r="J171" i="8" s="1"/>
  <c r="K138" i="8"/>
  <c r="J237" i="8"/>
  <c r="J64" i="8"/>
  <c r="J257" i="8"/>
  <c r="E160" i="8"/>
  <c r="K160" i="8" s="1"/>
  <c r="D160" i="8"/>
  <c r="K137" i="8"/>
  <c r="D138" i="8"/>
  <c r="L271" i="8"/>
  <c r="L264" i="8"/>
  <c r="L365" i="8"/>
  <c r="H58" i="8"/>
  <c r="H64" i="8" s="1"/>
  <c r="I391" i="8" s="1"/>
  <c r="I409" i="8" s="1"/>
  <c r="I411" i="8" s="1"/>
  <c r="L160" i="8"/>
  <c r="J365" i="8"/>
  <c r="I58" i="8"/>
  <c r="I64" i="8" s="1"/>
  <c r="K51" i="8"/>
  <c r="K58" i="8" s="1"/>
  <c r="J384" i="8"/>
  <c r="L257" i="8"/>
  <c r="K64" i="8" l="1"/>
  <c r="M409" i="8"/>
  <c r="M411" i="8" s="1"/>
  <c r="N54" i="5" l="1"/>
</calcChain>
</file>

<file path=xl/comments1.xml><?xml version="1.0" encoding="utf-8"?>
<comments xmlns="http://schemas.openxmlformats.org/spreadsheetml/2006/main">
  <authors>
    <author>DR.MANOJ</author>
  </authors>
  <commentList>
    <comment ref="H275" authorId="0">
      <text>
        <r>
          <rPr>
            <b/>
            <sz val="9"/>
            <color indexed="81"/>
            <rFont val="Tahoma"/>
            <family val="2"/>
          </rPr>
          <t>DR.MANOJ:</t>
        </r>
        <r>
          <rPr>
            <sz val="9"/>
            <color indexed="81"/>
            <rFont val="Tahoma"/>
            <family val="2"/>
          </rPr>
          <t xml:space="preserve">
</t>
        </r>
      </text>
    </comment>
  </commentList>
</comments>
</file>

<file path=xl/sharedStrings.xml><?xml version="1.0" encoding="utf-8"?>
<sst xmlns="http://schemas.openxmlformats.org/spreadsheetml/2006/main" count="1841" uniqueCount="977">
  <si>
    <t>Sr No.</t>
  </si>
  <si>
    <t>Category of Expenditure</t>
  </si>
  <si>
    <t>Total</t>
  </si>
  <si>
    <t>Civil works</t>
  </si>
  <si>
    <t>Laboratory materials</t>
  </si>
  <si>
    <t>Honorarium/Counselling Charges</t>
  </si>
  <si>
    <t>ACSM</t>
  </si>
  <si>
    <t>Equipment maintenance</t>
  </si>
  <si>
    <t>Training</t>
  </si>
  <si>
    <t>Vehicle Operation (POL &amp; maintenance)</t>
  </si>
  <si>
    <t>Vehicle hiring</t>
  </si>
  <si>
    <t>Public-private Mix (PP/NGO support)</t>
  </si>
  <si>
    <t>Medical Colleges</t>
  </si>
  <si>
    <t>Office operations (Miscellaneous)</t>
  </si>
  <si>
    <t>Contractual services</t>
  </si>
  <si>
    <t>Printing</t>
  </si>
  <si>
    <t>Research, studies &amp; Consultancy</t>
  </si>
  <si>
    <t>Procurement –vehicles</t>
  </si>
  <si>
    <t>Procurement – equipment</t>
  </si>
  <si>
    <t>Patient support &amp; transportation charges</t>
  </si>
  <si>
    <t>Supervision &amp; Monitoring</t>
  </si>
  <si>
    <t>Additionalities under Disease pool fund</t>
  </si>
  <si>
    <t>Grand Total</t>
  </si>
  <si>
    <t>Annual Plan for Programme Performance &amp; Budget for the year</t>
  </si>
  <si>
    <t>State</t>
  </si>
  <si>
    <t>Norm</t>
  </si>
  <si>
    <t>Type</t>
  </si>
  <si>
    <t>Setting</t>
  </si>
  <si>
    <t>Tribal</t>
  </si>
  <si>
    <t>Urban</t>
  </si>
  <si>
    <t>Rural Population</t>
  </si>
  <si>
    <t>Urban Population</t>
  </si>
  <si>
    <t>Under already identified urban cities with &gt;1 million population</t>
  </si>
  <si>
    <t>Total District Population</t>
  </si>
  <si>
    <t>Tribal Population</t>
  </si>
  <si>
    <t>Hilly population</t>
  </si>
  <si>
    <t>No of DMCs in the district</t>
  </si>
  <si>
    <t>Section C – Consolidated Plan for Performance and Expenditure under each head</t>
  </si>
  <si>
    <t>Analysis</t>
  </si>
  <si>
    <t>Justification/Remarks</t>
  </si>
  <si>
    <t>Norms</t>
  </si>
  <si>
    <t>Approved</t>
  </si>
  <si>
    <t>Activity</t>
  </si>
  <si>
    <t xml:space="preserve">No already upgraded/present in the District </t>
  </si>
  <si>
    <t>Estimated expenditure on the activity</t>
  </si>
  <si>
    <t>Upgradation</t>
  </si>
  <si>
    <t>Maintenance</t>
  </si>
  <si>
    <t>%</t>
  </si>
  <si>
    <t>Amount</t>
  </si>
  <si>
    <t>District TB Centre</t>
  </si>
  <si>
    <t>DR TB Centre</t>
  </si>
  <si>
    <t>Solid</t>
  </si>
  <si>
    <t>LPA</t>
  </si>
  <si>
    <t>Liquid</t>
  </si>
  <si>
    <t>Solid+LPA</t>
  </si>
  <si>
    <t>Liquid+LPA</t>
  </si>
  <si>
    <t>Solid+Liquid</t>
  </si>
  <si>
    <t>Solid+Liquid+LPA</t>
  </si>
  <si>
    <t>DDS ( for both 1st and 2nd Line drugs)</t>
  </si>
  <si>
    <t>TB Units</t>
  </si>
  <si>
    <t>DMCs with Smear Microscopy (ZN Staining)</t>
  </si>
  <si>
    <t>DMCs with smear microscopy (Fluorescent microscopy)</t>
  </si>
  <si>
    <t>DMCs with Rapid Diagnostics</t>
  </si>
  <si>
    <t>% of Procurement planned actually spent in last 4 quarters</t>
  </si>
  <si>
    <t>Amount actually spent in the last 4 quarters (in Rs.)</t>
  </si>
  <si>
    <t>Purchase of Lab material for Smear Microscopy</t>
  </si>
  <si>
    <t>Purchase of Lab Materials by Districts for sample collection, packaging and transport to C-DST laboratory</t>
  </si>
  <si>
    <t>Purchase of Lab materials for C-DST lab in the district</t>
  </si>
  <si>
    <t>% of expenditure planned actually spent in last 4 quarters</t>
  </si>
  <si>
    <t>Amount permissible as per the norms</t>
  </si>
  <si>
    <t>Amount actually spent in the last 4 quarters</t>
  </si>
  <si>
    <t>Details of DOT Providers</t>
  </si>
  <si>
    <t>Type of DOT Provider</t>
  </si>
  <si>
    <t>Number Presently involved under RNTCP</t>
  </si>
  <si>
    <t>Honorarium paid during last four quarters</t>
  </si>
  <si>
    <t>ASHA</t>
  </si>
  <si>
    <t>Anganwadi</t>
  </si>
  <si>
    <t>Community Volunteer</t>
  </si>
  <si>
    <t>Private providers / PPs (to whom honorarium is given from this head) (NGO/PP Scheme not signed)</t>
  </si>
  <si>
    <t>% of expenditure planned actually spent in last financial year</t>
  </si>
  <si>
    <t>Item</t>
  </si>
  <si>
    <t xml:space="preserve">Amount permissible as per the norms </t>
  </si>
  <si>
    <t xml:space="preserve">Office Equipment at DTC (maintenance includes AMC, software and hardware upgrades, Printer Cartridges,Internet expenses and repairs of photocopier, fax, OHP etc)
</t>
  </si>
  <si>
    <t>Binocular Microscopes</t>
  </si>
  <si>
    <t>LED Fluorescent Microscope</t>
  </si>
  <si>
    <t>Automated NAAT (CBNAAT)</t>
  </si>
  <si>
    <t>Office equipment at DRTB Centre</t>
  </si>
  <si>
    <t>C&amp;DST lab Equipment</t>
  </si>
  <si>
    <t>Laptop &amp; LCD Projector</t>
  </si>
  <si>
    <t>Refrigerator</t>
  </si>
  <si>
    <t>Type of vehicle</t>
  </si>
  <si>
    <t>No permissible as per norms in the District</t>
  </si>
  <si>
    <t>Amount spent on POL and maintenance in last 4 quarters</t>
  </si>
  <si>
    <t>Four wheelers DTO</t>
  </si>
  <si>
    <t>Four wheelers MOTC</t>
  </si>
  <si>
    <t>Two-wheelers STS</t>
  </si>
  <si>
    <t>Non Tribal</t>
  </si>
  <si>
    <t>Two-wheelers Others</t>
  </si>
  <si>
    <t>Hiring of four wheeler</t>
  </si>
  <si>
    <t>No actually requiring hired vehicles</t>
  </si>
  <si>
    <t>Amount spent in the previous 4 quarters</t>
  </si>
  <si>
    <t>For DTO</t>
  </si>
  <si>
    <t>For MOTC</t>
  </si>
  <si>
    <t xml:space="preserve">No. planned to be additionally hired during this year </t>
  </si>
  <si>
    <t xml:space="preserve">Amount spent in the previous 4 quarters </t>
  </si>
  <si>
    <t>PP/NGO Support</t>
  </si>
  <si>
    <t>District level PPM Coordinator</t>
  </si>
  <si>
    <t>TBHV</t>
  </si>
  <si>
    <t>Particulars</t>
  </si>
  <si>
    <t>Public sector</t>
  </si>
  <si>
    <t>Private / NGO</t>
  </si>
  <si>
    <t>Number of medical colleges recognized by MCI present in district</t>
  </si>
  <si>
    <t>Number of medical colleges participating in program</t>
  </si>
  <si>
    <t>Number of High Case load PG Teaching Hospitals</t>
  </si>
  <si>
    <t>Number of TB Hospitals</t>
  </si>
  <si>
    <t>Number in Medical College</t>
  </si>
  <si>
    <t>Amount permissible as per norms (Rs)</t>
  </si>
  <si>
    <t>Amount spent in previous 4 quarters</t>
  </si>
  <si>
    <t>DMC</t>
  </si>
  <si>
    <t>DRTB Centre</t>
  </si>
  <si>
    <t xml:space="preserve">Contractual Staff: </t>
  </si>
  <si>
    <t>Medical Officer</t>
  </si>
  <si>
    <t>Lab Technician</t>
  </si>
  <si>
    <t xml:space="preserve">ACSM: </t>
  </si>
  <si>
    <t>Core Committee Meetings and CMEs</t>
  </si>
  <si>
    <t>Sponsorship of plenary session on RNTCP in seminars / CME /Workshops</t>
  </si>
  <si>
    <t>Any Other activity</t>
  </si>
  <si>
    <t>Training:</t>
  </si>
  <si>
    <t>Numbers to be trained</t>
  </si>
  <si>
    <t>Faculty Members</t>
  </si>
  <si>
    <t xml:space="preserve">Residents &amp; interns, </t>
  </si>
  <si>
    <t>Nursing Staff</t>
  </si>
  <si>
    <t>Para-medical staff</t>
  </si>
  <si>
    <t>Research and Studies:</t>
  </si>
  <si>
    <r>
      <t>1.</t>
    </r>
    <r>
      <rPr>
        <sz val="7"/>
        <rFont val="Arial"/>
        <family val="2"/>
      </rPr>
      <t xml:space="preserve">      </t>
    </r>
    <r>
      <rPr>
        <sz val="11"/>
        <rFont val="Arial"/>
        <family val="2"/>
      </rPr>
      <t>Thesis of PG Students</t>
    </r>
  </si>
  <si>
    <r>
      <t>2.</t>
    </r>
    <r>
      <rPr>
        <sz val="7"/>
        <rFont val="Arial"/>
        <family val="2"/>
      </rPr>
      <t xml:space="preserve">      </t>
    </r>
    <r>
      <rPr>
        <sz val="11"/>
        <rFont val="Arial"/>
        <family val="2"/>
      </rPr>
      <t>Operations Research</t>
    </r>
  </si>
  <si>
    <t>Travel Expenses:</t>
  </si>
  <si>
    <t>For attending STF/ZTF/NTF/State OR and Zonal OR Committee meetings</t>
  </si>
  <si>
    <t>Equipment Maintenance:</t>
  </si>
  <si>
    <t xml:space="preserve"> At Nodal Centres</t>
  </si>
  <si>
    <t>Miscellaneous</t>
  </si>
  <si>
    <t>Postage, communication, fax, etc</t>
  </si>
  <si>
    <t>Allowance to existing manpower with STF Chairperson for clerical assistance</t>
  </si>
  <si>
    <t>TOTAL</t>
  </si>
  <si>
    <t xml:space="preserve">Amount permissible as per the norms in the District </t>
  </si>
  <si>
    <t>Stationary</t>
  </si>
  <si>
    <t>Telephone</t>
  </si>
  <si>
    <t>Electricity</t>
  </si>
  <si>
    <t>Drug transportation</t>
  </si>
  <si>
    <t>Review Meeting expenses</t>
  </si>
  <si>
    <t>Others (specify)</t>
  </si>
  <si>
    <t>C&amp;DST Laboratory</t>
  </si>
  <si>
    <t>Expenditure planned for current finacial year</t>
  </si>
  <si>
    <t>Whether submitted for approval/ already approved? (Yes/No)</t>
  </si>
  <si>
    <t>Estimated Total Budget</t>
  </si>
  <si>
    <t>Vehicle</t>
  </si>
  <si>
    <t xml:space="preserve">No planned for next finacial year </t>
  </si>
  <si>
    <t xml:space="preserve">Amount permissible as per the norms in the District 
</t>
  </si>
  <si>
    <t>Number</t>
  </si>
  <si>
    <t>New</t>
  </si>
  <si>
    <t>4 wheeler</t>
  </si>
  <si>
    <t>2 wheeler</t>
  </si>
  <si>
    <t>Replacement</t>
  </si>
  <si>
    <t>Equipment</t>
  </si>
  <si>
    <t>Lab Equipment</t>
  </si>
  <si>
    <t>Binocular Microscope</t>
  </si>
  <si>
    <t>LED Microscope</t>
  </si>
  <si>
    <t>Culture and Sensitivity Equipment</t>
  </si>
  <si>
    <t>Office Equipment</t>
  </si>
  <si>
    <r>
      <rPr>
        <sz val="18"/>
        <color theme="1"/>
        <rFont val="Arial"/>
        <family val="2"/>
      </rPr>
      <t>C&amp;DST Lab</t>
    </r>
    <r>
      <rPr>
        <sz val="11"/>
        <color theme="1"/>
        <rFont val="Arial"/>
        <family val="2"/>
      </rPr>
      <t>-Computer, modem, scanner, printer, UPS etc</t>
    </r>
  </si>
  <si>
    <r>
      <rPr>
        <sz val="16"/>
        <color theme="1"/>
        <rFont val="Arial"/>
        <family val="2"/>
      </rPr>
      <t>DRTB Centre</t>
    </r>
    <r>
      <rPr>
        <sz val="11"/>
        <color theme="1"/>
        <rFont val="Arial"/>
        <family val="2"/>
      </rPr>
      <t>-Computer, modem, scanner, printer, UPS etc</t>
    </r>
  </si>
  <si>
    <t>Fax machine</t>
  </si>
  <si>
    <t>Photo-copier</t>
  </si>
  <si>
    <t>LCD system with laptop</t>
  </si>
  <si>
    <t>Barcode reading Equipment and software</t>
  </si>
  <si>
    <t>PDA</t>
  </si>
  <si>
    <t xml:space="preserve">Amount permissible as per the norms in the district </t>
  </si>
  <si>
    <t>Amount spent in the previous 4 quarters (In Rs)</t>
  </si>
  <si>
    <t>Sputum collection and transportation from Non DMC PHIs to DMC/DTC</t>
  </si>
  <si>
    <t>Sputum sample transportation cost from DTC / DMC / Collection centre to Culture / DST lab by individual / courier agency / volunteer within the pre-decided time limit</t>
  </si>
  <si>
    <t>Transportation charges - actual travel  fare by public transport for MDR TB patient and 1 attendant for travel to DTC/DOTS Plus Site/IRL for follow up examination*</t>
  </si>
  <si>
    <t>MDR TB suspect travel to DTC / Collection centre for Culture / DST</t>
  </si>
  <si>
    <t>Other (specify)</t>
  </si>
  <si>
    <t>Supervision and Monitoring</t>
  </si>
  <si>
    <t>TA of Contractual Staff</t>
  </si>
  <si>
    <t>DA of Contractual Staff</t>
  </si>
  <si>
    <t>TA &amp; DA of DTO/MODTC for attending the meetings, workshops etc</t>
  </si>
  <si>
    <t>Review meeting expenditure</t>
  </si>
  <si>
    <t>Justification/remarks</t>
  </si>
  <si>
    <t>2012-13</t>
  </si>
  <si>
    <t>% Expenditure</t>
  </si>
  <si>
    <t>Utilized</t>
  </si>
  <si>
    <t>Funds available (opening bal+released)</t>
  </si>
  <si>
    <t>Utilized (till Sep 2012)</t>
  </si>
  <si>
    <t>Approved Amount</t>
  </si>
  <si>
    <t>Sr. No</t>
  </si>
  <si>
    <t>Proposed Activity</t>
  </si>
  <si>
    <t>Number required</t>
  </si>
  <si>
    <t>Unit cost</t>
  </si>
  <si>
    <t>Estimated expenditure</t>
  </si>
  <si>
    <t>Justification</t>
  </si>
  <si>
    <t>District</t>
  </si>
  <si>
    <t>Lab 1</t>
  </si>
  <si>
    <t>Lab 2</t>
  </si>
  <si>
    <t>Lab 3</t>
  </si>
  <si>
    <t>Research &amp; Studies</t>
  </si>
  <si>
    <t>None</t>
  </si>
  <si>
    <t>Any other known groups of special population for specific interventions (e.g. nomadic,migrant,industrial workers, etc)</t>
  </si>
  <si>
    <t>S. No.</t>
  </si>
  <si>
    <t>Remarks / Justification</t>
  </si>
  <si>
    <t>Physical Progress</t>
  </si>
  <si>
    <t>Financial Progress (Rs. Lakhs)</t>
  </si>
  <si>
    <t>Medical Officer-DTC</t>
  </si>
  <si>
    <t xml:space="preserve">Senior DOTS plus TB – HIV Supervisor </t>
  </si>
  <si>
    <t>STS</t>
  </si>
  <si>
    <t>STLS</t>
  </si>
  <si>
    <t>DEO</t>
  </si>
  <si>
    <t>Accountant – full time</t>
  </si>
  <si>
    <t>Contractual LT</t>
  </si>
  <si>
    <t>Driver ( if sanctioned from RNTCP )</t>
  </si>
  <si>
    <t>DRTB centre Sr. MO</t>
  </si>
  <si>
    <t>DR TB Centre Statistical Assistant</t>
  </si>
  <si>
    <t>DRTB centre  Counsellor</t>
  </si>
  <si>
    <t>Microbiologist – C&amp;DST lab (if approved</t>
  </si>
  <si>
    <t>LTs – C&amp;DST lab (if approved)</t>
  </si>
  <si>
    <t>DEO – C&amp;DST lab (if approved)</t>
  </si>
  <si>
    <t>District Program Coordinator</t>
  </si>
  <si>
    <t xml:space="preserve">Any other (specify) </t>
  </si>
  <si>
    <t>Budget Approved</t>
  </si>
  <si>
    <t>Expenditure as on Sep end</t>
  </si>
  <si>
    <t>Physical</t>
  </si>
  <si>
    <t>Budget proposed</t>
  </si>
  <si>
    <t>Financial</t>
  </si>
  <si>
    <t>NAME OF THE DISTRICT</t>
  </si>
  <si>
    <t>DETAILED  BUDGET : 2014-15</t>
  </si>
  <si>
    <t>No. of posts sanctioned 2013-14</t>
  </si>
  <si>
    <t>No. filled in</t>
  </si>
  <si>
    <t>No. of existing posts to be continued</t>
  </si>
  <si>
    <t>No. of additional posts proposed</t>
  </si>
  <si>
    <t>Total posts</t>
  </si>
  <si>
    <t>Contractual Staff:</t>
  </si>
  <si>
    <t>Contractual Salary Head</t>
  </si>
  <si>
    <t>Honorarium for DOT providers of Cat IV / V patients – Intensive phase*</t>
  </si>
  <si>
    <t>Honorarium for DOT providers of Cat IV / V patients – Continuation  phase</t>
  </si>
  <si>
    <t>No. of registered patients with non-salaried dot provider in last 4 quarters</t>
  </si>
  <si>
    <t>Oct-Dec</t>
  </si>
  <si>
    <t>Jan-Mar</t>
  </si>
  <si>
    <t>Apr-Jun</t>
  </si>
  <si>
    <t>Jul-Sep</t>
  </si>
  <si>
    <t>Total 4 quarters</t>
  </si>
  <si>
    <t>Expenditure as per SOE of last four quarters:</t>
  </si>
  <si>
    <t>Procurement of Drugs</t>
  </si>
  <si>
    <t>Type of Drugs</t>
  </si>
  <si>
    <t>First Line Drug</t>
  </si>
  <si>
    <t>MDR Drugs</t>
  </si>
  <si>
    <t>XDR Drugs</t>
  </si>
  <si>
    <t>Others</t>
  </si>
  <si>
    <t>1. Civil Works</t>
  </si>
  <si>
    <t>2013-14</t>
  </si>
  <si>
    <t>13. Printing</t>
  </si>
  <si>
    <t>14. Research and Studies</t>
  </si>
  <si>
    <t>15. Procurement of Drugs</t>
  </si>
  <si>
    <t>16. Procurement of vehicles</t>
  </si>
  <si>
    <t>Number planned for next FY</t>
  </si>
  <si>
    <t>Number sanctioned in previous 4 quarters</t>
  </si>
  <si>
    <t>Names of the drugs procured locally</t>
  </si>
  <si>
    <t>UNIT Costs</t>
  </si>
  <si>
    <t>FMR Code</t>
  </si>
  <si>
    <t>FMR Heads</t>
  </si>
  <si>
    <t>Sub heads</t>
  </si>
  <si>
    <t>Unit cost as per NSP( per annum)</t>
  </si>
  <si>
    <t>Unit cost as proposed by state in PIP</t>
  </si>
  <si>
    <t xml:space="preserve">Upgradation </t>
  </si>
  <si>
    <t>I.1</t>
  </si>
  <si>
    <t>Civil Works</t>
  </si>
  <si>
    <t>STDC</t>
  </si>
  <si>
    <t xml:space="preserve">STO Office </t>
  </si>
  <si>
    <t>IRL- Microscopy</t>
  </si>
  <si>
    <t>C&amp;DST- LPA MGIT</t>
  </si>
  <si>
    <t>C&amp;DST- Solid  LJ</t>
  </si>
  <si>
    <t>C&amp;DST liquid new</t>
  </si>
  <si>
    <t>SDS with FLD</t>
  </si>
  <si>
    <t>SDS with SLD ( additional )</t>
  </si>
  <si>
    <t>DTC( for new building)</t>
  </si>
  <si>
    <t>DTC( for renovation of building)</t>
  </si>
  <si>
    <t>TU</t>
  </si>
  <si>
    <t>DMC with rapid diagnostic</t>
  </si>
  <si>
    <t>50000( in adition to 60000)</t>
  </si>
  <si>
    <t>Cost</t>
  </si>
  <si>
    <t xml:space="preserve">basis of calculation </t>
  </si>
  <si>
    <t>I.2</t>
  </si>
  <si>
    <t xml:space="preserve">Laboratory Materials </t>
  </si>
  <si>
    <t>State level</t>
  </si>
  <si>
    <t>per million popn</t>
  </si>
  <si>
    <t>District level</t>
  </si>
  <si>
    <t>Automated CBNAAT</t>
  </si>
  <si>
    <t>I.3</t>
  </si>
  <si>
    <t>Honorarium /counselling charges</t>
  </si>
  <si>
    <t>DOT provider of Cat I patient</t>
  </si>
  <si>
    <t>Per patient</t>
  </si>
  <si>
    <t>DOT provider of Cat II patient</t>
  </si>
  <si>
    <t>Cat IV(MDR patients)</t>
  </si>
  <si>
    <t>CatV( XDR patients)</t>
  </si>
  <si>
    <t>I.4</t>
  </si>
  <si>
    <t>ACSM officer</t>
  </si>
  <si>
    <t>per person/ annum</t>
  </si>
  <si>
    <t>State Level IEC cost</t>
  </si>
  <si>
    <t>Type A</t>
  </si>
  <si>
    <t>Type B</t>
  </si>
  <si>
    <t>Type C</t>
  </si>
  <si>
    <t>IEC agency and activity cost</t>
  </si>
  <si>
    <t>District level IEC cost</t>
  </si>
  <si>
    <t>Urban cities</t>
  </si>
  <si>
    <t>Million + cities</t>
  </si>
  <si>
    <t>I.5</t>
  </si>
  <si>
    <t>Equipment maintanance</t>
  </si>
  <si>
    <t>District level freeze</t>
  </si>
  <si>
    <t>Per unit/pa</t>
  </si>
  <si>
    <t>computer/photocopier/fax</t>
  </si>
  <si>
    <t>per district</t>
  </si>
  <si>
    <t>Binocular microscope</t>
  </si>
  <si>
    <t>Fluorescen microscope</t>
  </si>
  <si>
    <t>Automated NAAT</t>
  </si>
  <si>
    <t>C&amp;DST lab</t>
  </si>
  <si>
    <t>per lab</t>
  </si>
  <si>
    <t>PDA device</t>
  </si>
  <si>
    <t>LCD machine</t>
  </si>
  <si>
    <t>other</t>
  </si>
  <si>
    <t>15% pf cost of machine</t>
  </si>
  <si>
    <t>I.6</t>
  </si>
  <si>
    <t>Training of medicals</t>
  </si>
  <si>
    <t>per batch</t>
  </si>
  <si>
    <t xml:space="preserve"> training of paramedicals</t>
  </si>
  <si>
    <t>I.7</t>
  </si>
  <si>
    <t>Vehicle operation</t>
  </si>
  <si>
    <t>2 wheeler STS</t>
  </si>
  <si>
    <t>per person pa</t>
  </si>
  <si>
    <t>2 wheeler STLS</t>
  </si>
  <si>
    <t>4 wheelers</t>
  </si>
  <si>
    <t>per vehicle pa</t>
  </si>
  <si>
    <t>4 wheelers (MOTC)</t>
  </si>
  <si>
    <t>per MOTC pa</t>
  </si>
  <si>
    <t>I.8</t>
  </si>
  <si>
    <t>STC</t>
  </si>
  <si>
    <t>per vehicle</t>
  </si>
  <si>
    <t>DTO</t>
  </si>
  <si>
    <t>MOTC</t>
  </si>
  <si>
    <t>HIV TB coordinators</t>
  </si>
  <si>
    <t>Other</t>
  </si>
  <si>
    <t>I.9</t>
  </si>
  <si>
    <t>NGO /PP support</t>
  </si>
  <si>
    <t>State Level</t>
  </si>
  <si>
    <t>per million pop pa</t>
  </si>
  <si>
    <t xml:space="preserve">District Level </t>
  </si>
  <si>
    <t>State PPM coordinator</t>
  </si>
  <si>
    <t>District PPM coordinator</t>
  </si>
  <si>
    <t>PPIA</t>
  </si>
  <si>
    <t>per patient</t>
  </si>
  <si>
    <t>I.10</t>
  </si>
  <si>
    <t>Medical colleges</t>
  </si>
  <si>
    <t>Medical officer</t>
  </si>
  <si>
    <t>TB HV</t>
  </si>
  <si>
    <t>LT</t>
  </si>
  <si>
    <t>Treatment Monitor</t>
  </si>
  <si>
    <t>National Level Conferences (8/year)</t>
  </si>
  <si>
    <t>State Level Conference  (4/year)</t>
  </si>
  <si>
    <t>Medical Colleges CME (1/year)</t>
  </si>
  <si>
    <t>Training of Resident Doctors  (50/yr)</t>
  </si>
  <si>
    <t>Organisational Conference Costs-NTF</t>
  </si>
  <si>
    <t>Organisational Conference Costs-ZTF</t>
  </si>
  <si>
    <t>Organisational Conference Costs-STF</t>
  </si>
  <si>
    <t>Research by PG Med. Students on TB</t>
  </si>
  <si>
    <t>TA/DA costs of NTF/ZTF/STF Chairman and Members to NTF</t>
  </si>
  <si>
    <t>TA/DA costs of NTF/ZTF/STF Chairman and Members to ZTF</t>
  </si>
  <si>
    <t>TA/DA costs of NTF/ZTF/STF Chairman and Members to STF</t>
  </si>
  <si>
    <t>TA/DA costs for National Training of Medical College Faculty</t>
  </si>
  <si>
    <t>STF Chairperson Travel Cost for supervisory visit</t>
  </si>
  <si>
    <t>STF Chairperson Travel Cost for meetings and Internal Evaluation</t>
  </si>
  <si>
    <t>Stationary and Misc Fund for STF office @ Rs.0.02 lakh per medical college</t>
  </si>
  <si>
    <t>Stationary and Misc Fund for ZTF office @ Rs. 0.01 lakh per medical college</t>
  </si>
  <si>
    <t>Medical colleges - for postage, communication, fax etc.</t>
  </si>
  <si>
    <t>Clerical assistance allowance to the STF / ZTF chairperson's existing department manpower for coordination</t>
  </si>
  <si>
    <t>Operational Research Committee Meetings</t>
  </si>
  <si>
    <t>I.11</t>
  </si>
  <si>
    <t xml:space="preserve">Office Operation </t>
  </si>
  <si>
    <t>For STC</t>
  </si>
  <si>
    <t>Type A (fixed cost)</t>
  </si>
  <si>
    <t>Per state</t>
  </si>
  <si>
    <t>Type B (fixed cost)</t>
  </si>
  <si>
    <t>Type C (fixed cost)</t>
  </si>
  <si>
    <t>All states( in a addition to the fixed cost)</t>
  </si>
  <si>
    <t>per million population</t>
  </si>
  <si>
    <t>per unit pa</t>
  </si>
  <si>
    <t>IRL</t>
  </si>
  <si>
    <t>SDS</t>
  </si>
  <si>
    <t>DRTB centre</t>
  </si>
  <si>
    <t xml:space="preserve">District TB cell </t>
  </si>
  <si>
    <t>All districts ( in a addition to the fixed cost)</t>
  </si>
  <si>
    <t>I.12</t>
  </si>
  <si>
    <t>Epidemiologist(Asst. Prog.Officer)</t>
  </si>
  <si>
    <t xml:space="preserve">Medical Officer (Asst STO) </t>
  </si>
  <si>
    <t xml:space="preserve">TB HIV Coordinators </t>
  </si>
  <si>
    <t xml:space="preserve"> State Accountant</t>
  </si>
  <si>
    <t>Secretarial Assistant</t>
  </si>
  <si>
    <t>Data Entry Operator (STC)</t>
  </si>
  <si>
    <t>Driver</t>
  </si>
  <si>
    <t>DR-TB Coordinator*</t>
  </si>
  <si>
    <t>DEO-STF chairman*</t>
  </si>
  <si>
    <t>Data Analyst*</t>
  </si>
  <si>
    <t>Technical Officer - Procurement &amp; Logistic Personnel*</t>
  </si>
  <si>
    <t>Microbiologist - EQA*</t>
  </si>
  <si>
    <t>Culture &amp; DST Lab</t>
  </si>
  <si>
    <t>Microbiologist</t>
  </si>
  <si>
    <t>Sr. Lab. Tech. for IRL</t>
  </si>
  <si>
    <t>Data Entry Operator for IRL</t>
  </si>
  <si>
    <t xml:space="preserve">Pharmacist cum Storekeeper </t>
  </si>
  <si>
    <t>Store Assistant</t>
  </si>
  <si>
    <t>District level:</t>
  </si>
  <si>
    <t xml:space="preserve">Medical Officer (MO-DTC) </t>
  </si>
  <si>
    <t>Senior Treatment Supervisor</t>
  </si>
  <si>
    <t xml:space="preserve">Senior  Laboratory Treatment Supervisor </t>
  </si>
  <si>
    <t xml:space="preserve">Laboratory Technician </t>
  </si>
  <si>
    <t xml:space="preserve">Driver </t>
  </si>
  <si>
    <t>Data Entry Operator</t>
  </si>
  <si>
    <t>Sr.DOTS+ TBHIV Supervisor</t>
  </si>
  <si>
    <t>DOTS Plus Site Sr. MO</t>
  </si>
  <si>
    <t>DOTS Plus Site Stats. Asstt.</t>
  </si>
  <si>
    <t>MO-Medical college</t>
  </si>
  <si>
    <t>LT-Medical college</t>
  </si>
  <si>
    <t>TBHV-Medical college</t>
  </si>
  <si>
    <t>Councillor at DOTS plus site</t>
  </si>
  <si>
    <t>Assistant Accountant*</t>
  </si>
  <si>
    <t>District Program Coordinator*</t>
  </si>
  <si>
    <t>I.13</t>
  </si>
  <si>
    <t>State Leve</t>
  </si>
  <si>
    <t>I.14</t>
  </si>
  <si>
    <t>Reserach ,Studies &amp; Consultancy</t>
  </si>
  <si>
    <t>Research Dissemination workshop</t>
  </si>
  <si>
    <t>Participation in International conference</t>
  </si>
  <si>
    <t>Technical meetings</t>
  </si>
  <si>
    <t>I.15</t>
  </si>
  <si>
    <t>Procurement ofdrugs</t>
  </si>
  <si>
    <t>I.16</t>
  </si>
  <si>
    <t>Procurement of Vehicles</t>
  </si>
  <si>
    <t>Two wheeler</t>
  </si>
  <si>
    <t>Four wheelers</t>
  </si>
  <si>
    <t>I.17</t>
  </si>
  <si>
    <t>Procurement of Equipment</t>
  </si>
  <si>
    <t>Computer system</t>
  </si>
  <si>
    <t>LEDFM</t>
  </si>
  <si>
    <t>Fax system</t>
  </si>
  <si>
    <t>LCD</t>
  </si>
  <si>
    <t>Photocopier</t>
  </si>
  <si>
    <t>Video Conferencing Equipment for Cental &amp; State level</t>
  </si>
  <si>
    <t>I.18</t>
  </si>
  <si>
    <t>Patient support and transportation charges</t>
  </si>
  <si>
    <t xml:space="preserve">cost to volunteer for sputum collection </t>
  </si>
  <si>
    <t>per volunteer/ month if sputum are taken more than once in a week</t>
  </si>
  <si>
    <t>I.19</t>
  </si>
  <si>
    <t>per million  population</t>
  </si>
  <si>
    <t>SIE</t>
  </si>
  <si>
    <t>per SIE</t>
  </si>
  <si>
    <t xml:space="preserve">Review meeting </t>
  </si>
  <si>
    <t>Number of districts submitted action Plan</t>
  </si>
  <si>
    <t>Type of setting</t>
  </si>
  <si>
    <t>Rural</t>
  </si>
  <si>
    <t>A</t>
  </si>
  <si>
    <t>B</t>
  </si>
  <si>
    <t>C</t>
  </si>
  <si>
    <t>Number of districts</t>
  </si>
  <si>
    <t>State Population (in lakh);Please give projected population for next year</t>
  </si>
  <si>
    <t>Number of Districts in the state</t>
  </si>
  <si>
    <t>No required as per the norms in the State</t>
  </si>
  <si>
    <t>State TB Office</t>
  </si>
  <si>
    <t>State TB Training and Demonstration Centre (STDC)</t>
  </si>
  <si>
    <t>C&amp;DST Lab (State Level)</t>
  </si>
  <si>
    <t>Subtotal C &amp;DST Lab (State Level)</t>
  </si>
  <si>
    <t>C&amp;DST Lab (District Level)</t>
  </si>
  <si>
    <t>Subtotal C &amp;DST Lab (District Level)</t>
  </si>
  <si>
    <t>Amount permissible as per the norms in the Districts</t>
  </si>
  <si>
    <t>Lab materials for EQA activity at STDC (eg.  Lab consumables for trainings, preparation of Panel slides etc)</t>
  </si>
  <si>
    <t>Lab materials &amp; consumables for Culture/DST activity at IRL and other Accredited Culture &amp; DST labs in Govt. sector including Medical Colleges</t>
  </si>
  <si>
    <t>Honorarium</t>
  </si>
  <si>
    <t>Advocacy, Communication and Social Mobilization</t>
  </si>
  <si>
    <t>State Level ACSM</t>
  </si>
  <si>
    <t>District Level ACSM</t>
  </si>
  <si>
    <t xml:space="preserve">No actually present </t>
  </si>
  <si>
    <t xml:space="preserve">Office Equipment at STC,STDC,IRL,SDS, DR TB Centre (maintenance includes AMC, software and hardware upgrades, Printer Cartridges,Internet expenses and repairs of photocopier, fax, OHP etc)
</t>
  </si>
  <si>
    <t>IRL Equipments</t>
  </si>
  <si>
    <t>"@ 15% of equipment cost"</t>
  </si>
  <si>
    <t>Bar Code Printer</t>
  </si>
  <si>
    <t>Bar code Reading equipment</t>
  </si>
  <si>
    <t>Video Conferencing unit</t>
  </si>
  <si>
    <t>Any Other (Please specify)</t>
  </si>
  <si>
    <t>Sub Total (State Level)</t>
  </si>
  <si>
    <t>District Level</t>
  </si>
  <si>
    <t>Sub Total (District Level)</t>
  </si>
  <si>
    <t>Level</t>
  </si>
  <si>
    <t>Vehicle maintenance</t>
  </si>
  <si>
    <t>Four wheeler STC</t>
  </si>
  <si>
    <t>Four wheeler STDC</t>
  </si>
  <si>
    <t>No permissible as per norms in the state</t>
  </si>
  <si>
    <t>Public-private Mix: (PP/NGO Support)</t>
  </si>
  <si>
    <t>State Level PPM Coordinator</t>
  </si>
  <si>
    <t>State level Treatment monitor</t>
  </si>
  <si>
    <t>PG Teaching/TB/Other Hospitals</t>
  </si>
  <si>
    <t>Support to Conferences, symposiums, panel discussions and workshops organized at National and state levels and at level of Medical college</t>
  </si>
  <si>
    <t>Organizational cost for STF Meeting</t>
  </si>
  <si>
    <t>Operational Research Committee Meeting</t>
  </si>
  <si>
    <t>Office Operations (Miscellaneous)</t>
  </si>
  <si>
    <t>STC level</t>
  </si>
  <si>
    <t>STDC level</t>
  </si>
  <si>
    <t xml:space="preserve">Number of Operational Research projects planned </t>
  </si>
  <si>
    <t>Estimated District Budget</t>
  </si>
  <si>
    <t>Estimated State Budget</t>
  </si>
  <si>
    <t>New 4 wheeler</t>
  </si>
  <si>
    <t>Replacement                4 wheeler</t>
  </si>
  <si>
    <t>Procurement of equipment</t>
  </si>
  <si>
    <t>No actually present</t>
  </si>
  <si>
    <t xml:space="preserve">Amount permissible as per the norms
</t>
  </si>
  <si>
    <r>
      <rPr>
        <b/>
        <sz val="14"/>
        <color theme="1"/>
        <rFont val="Arial"/>
        <family val="2"/>
      </rPr>
      <t>STC</t>
    </r>
    <r>
      <rPr>
        <sz val="11"/>
        <color theme="1"/>
        <rFont val="Arial"/>
        <family val="2"/>
      </rPr>
      <t>-Computer, modem, scanner, printer, UPS etc</t>
    </r>
  </si>
  <si>
    <t>Patient Support and Transportation charges</t>
  </si>
  <si>
    <t>TA &amp; DA of STO and other regular staff at State TB Cell for attending the meetings, workshops etc</t>
  </si>
  <si>
    <t>Additionality Funds from Disease Pool funds -                                                                                                                                                Details of the activities for which Additionality Funds are proposed to be sought.</t>
  </si>
  <si>
    <t>Slum / Urban poor population</t>
  </si>
  <si>
    <t>Name of District</t>
  </si>
  <si>
    <t>Funds available (opening bal+released+re-allocations)</t>
  </si>
  <si>
    <t>Permissible Budget as per population norm for 2014-15</t>
  </si>
  <si>
    <t>Budget proposed in last Annual Action plan (2012-13)</t>
  </si>
  <si>
    <t>State Level ACSM Officer - Renumeration</t>
  </si>
  <si>
    <t xml:space="preserve">No. required as per the norms </t>
  </si>
  <si>
    <t>No. actually present</t>
  </si>
  <si>
    <t>Organizational cost for ZTF Meeting</t>
  </si>
  <si>
    <t>Organizational cost for NTF Meeting</t>
  </si>
  <si>
    <t>DEO for STF (if approved)</t>
  </si>
  <si>
    <t>DEO for ZTF (if approved)</t>
  </si>
  <si>
    <t>No. required as per the norms</t>
  </si>
  <si>
    <t>District Level:</t>
  </si>
  <si>
    <t>State level:</t>
  </si>
  <si>
    <t>Asst Programme Officer/Epidemiologist</t>
  </si>
  <si>
    <t>Medical officer – STC</t>
  </si>
  <si>
    <t>DRTB Coordinator</t>
  </si>
  <si>
    <t>TB/HIV Coordinator</t>
  </si>
  <si>
    <t>Microbiologist for IRL</t>
  </si>
  <si>
    <t>Sr.LT at IRL</t>
  </si>
  <si>
    <t>State IEC Officer</t>
  </si>
  <si>
    <t>Accounts Officer /State Accountant</t>
  </si>
  <si>
    <t>SDS Pharmacist</t>
  </si>
  <si>
    <t>Store Assistant (SDS)</t>
  </si>
  <si>
    <t>DEO (State TB Cell)</t>
  </si>
  <si>
    <t>DEO (IRL)</t>
  </si>
  <si>
    <t>Secretarial Asst</t>
  </si>
  <si>
    <t>DEO – STF (if approved)</t>
  </si>
  <si>
    <t>Technical Officer – procurement &amp; logistics</t>
  </si>
  <si>
    <t>IRL – Microbiologist EQA</t>
  </si>
  <si>
    <t>C&amp;DST Lab – Microbiologist*</t>
  </si>
  <si>
    <t>C&amp;DST Lab – Sr LT*</t>
  </si>
  <si>
    <t>C&amp;DST Lab – DEO*</t>
  </si>
  <si>
    <t>Sr. MO-DRTB Centre</t>
  </si>
  <si>
    <t>SA- DRTB Centre</t>
  </si>
  <si>
    <t>Councillor - DRTB Centre</t>
  </si>
  <si>
    <t>TOTAL - STATE LEVEL</t>
  </si>
  <si>
    <t>Commited unspent  balance  (as on Sep 2013)</t>
  </si>
  <si>
    <t>No. of additional posts</t>
  </si>
  <si>
    <t>No. of contractual posts continued</t>
  </si>
  <si>
    <t>Number to be trained - Medical</t>
  </si>
  <si>
    <t>Number to be trained - Para-medical</t>
  </si>
  <si>
    <t>Honorarium for DOT providers for Cat I patients (NEW)</t>
  </si>
  <si>
    <t>Honorarium for DOT providers for Cat II patients (RETREATMENT)</t>
  </si>
  <si>
    <t>Tribal / Hilly</t>
  </si>
  <si>
    <t>Mixed</t>
  </si>
  <si>
    <t xml:space="preserve">Arunachal Pradesh </t>
  </si>
  <si>
    <t xml:space="preserve">Assam </t>
  </si>
  <si>
    <t xml:space="preserve">Bihar </t>
  </si>
  <si>
    <t xml:space="preserve">Chandigarh </t>
  </si>
  <si>
    <t xml:space="preserve">Chhattisgarh </t>
  </si>
  <si>
    <t xml:space="preserve">Dadra &amp; Nagar Haveli </t>
  </si>
  <si>
    <t xml:space="preserve">Daman and Diu </t>
  </si>
  <si>
    <t xml:space="preserve">Delhi </t>
  </si>
  <si>
    <t xml:space="preserve">Gujarat </t>
  </si>
  <si>
    <t xml:space="preserve">Haryana </t>
  </si>
  <si>
    <t xml:space="preserve">Himachal Pradesh </t>
  </si>
  <si>
    <t xml:space="preserve">Jammu &amp; Kashmir </t>
  </si>
  <si>
    <t xml:space="preserve">Jharkhand </t>
  </si>
  <si>
    <t xml:space="preserve">Karnataka </t>
  </si>
  <si>
    <t xml:space="preserve">Kerala </t>
  </si>
  <si>
    <t xml:space="preserve">Lakshadweep </t>
  </si>
  <si>
    <t xml:space="preserve">Madhya Pradesh </t>
  </si>
  <si>
    <t xml:space="preserve">Maharashtra </t>
  </si>
  <si>
    <t xml:space="preserve">Manipur </t>
  </si>
  <si>
    <t xml:space="preserve">Meghalaya </t>
  </si>
  <si>
    <t xml:space="preserve">Mizoram </t>
  </si>
  <si>
    <t xml:space="preserve">Nagaland </t>
  </si>
  <si>
    <t xml:space="preserve">Orissa </t>
  </si>
  <si>
    <t xml:space="preserve">Puducherry </t>
  </si>
  <si>
    <t xml:space="preserve">Punjab </t>
  </si>
  <si>
    <t xml:space="preserve">Rajasthan </t>
  </si>
  <si>
    <t xml:space="preserve">Sikkim </t>
  </si>
  <si>
    <t xml:space="preserve">Tamil Nadu </t>
  </si>
  <si>
    <t xml:space="preserve">Tripura </t>
  </si>
  <si>
    <t xml:space="preserve">Uttar Pradesh </t>
  </si>
  <si>
    <t xml:space="preserve">Uttarakhand </t>
  </si>
  <si>
    <t xml:space="preserve">West Bengal </t>
  </si>
  <si>
    <t xml:space="preserve">Andaman &amp; Nicobar Islands </t>
  </si>
  <si>
    <t xml:space="preserve">Andhra Pradesh </t>
  </si>
  <si>
    <t xml:space="preserve">Goa </t>
  </si>
  <si>
    <t xml:space="preserve">Revised National TB Control Program </t>
  </si>
  <si>
    <t xml:space="preserve">No. already trained in RNTCP </t>
  </si>
  <si>
    <t>No.  planned to be trained in RNTCP during each quarter of next FY</t>
  </si>
  <si>
    <t xml:space="preserve">Expenditure (in Rs) planned for current financial year </t>
  </si>
  <si>
    <t>Estimated Expenditure for the next financial year for which plan is being submitted</t>
  </si>
  <si>
    <t>(Rs.)</t>
  </si>
  <si>
    <t>Justification/ remarks</t>
  </si>
  <si>
    <t>(a)</t>
  </si>
  <si>
    <t>(b)</t>
  </si>
  <si>
    <t>(d)</t>
  </si>
  <si>
    <t>(e)</t>
  </si>
  <si>
    <t>(f)</t>
  </si>
  <si>
    <t>Training of MOs</t>
  </si>
  <si>
    <t xml:space="preserve">Training of LTs of DMCs- </t>
  </si>
  <si>
    <t>Govt + Non Govt</t>
  </si>
  <si>
    <t>Training of MPWs</t>
  </si>
  <si>
    <t xml:space="preserve">Training of MPHS, pharmacists, </t>
  </si>
  <si>
    <t>nursing staff, BEO etc</t>
  </si>
  <si>
    <t>Training of Comm Volunteers</t>
  </si>
  <si>
    <t>Training of Pvt Practitioners</t>
  </si>
  <si>
    <t>Other trainings #</t>
  </si>
  <si>
    <t>Re- training of MOs</t>
  </si>
  <si>
    <t>Re- Training of LTs of DMCs</t>
  </si>
  <si>
    <t>Re- Training of MPWs</t>
  </si>
  <si>
    <t>Re- Training of MPHS</t>
  </si>
  <si>
    <t>Re- Training of Pharmacists</t>
  </si>
  <si>
    <t>Re- Training of nursing staff, BEO</t>
  </si>
  <si>
    <t xml:space="preserve">Re- Training of CVs </t>
  </si>
  <si>
    <t>Re-training of Pvt Practitioners</t>
  </si>
  <si>
    <t>TB/HIV Training of MOs</t>
  </si>
  <si>
    <t>TB/HIV Training of STLS, LTs , MPWs, MPHS, Nursing Staff, Community Volunteers etc</t>
  </si>
  <si>
    <t>TB/HIV Training of STS</t>
  </si>
  <si>
    <t>Training of BMOs  in PMDT</t>
  </si>
  <si>
    <t>Training of MOs in PMDT</t>
  </si>
  <si>
    <t>Training of Para medicals in PMDT</t>
  </si>
  <si>
    <t>Provision for Update Training at Various Levels(key staff &amp; MO-PHIs)</t>
  </si>
  <si>
    <t>Any Other Training Activity( Key staff &amp; MO-PHIs)</t>
  </si>
  <si>
    <r>
      <t>-</t>
    </r>
    <r>
      <rPr>
        <sz val="7"/>
        <color theme="1"/>
        <rFont val="Times New Roman"/>
        <family val="1"/>
      </rPr>
      <t xml:space="preserve">       </t>
    </r>
    <r>
      <rPr>
        <sz val="8"/>
        <color theme="1"/>
        <rFont val="Tahoma"/>
        <family val="2"/>
      </rPr>
      <t>AYUSH / School health / NRHM contractual doctors training</t>
    </r>
  </si>
  <si>
    <r>
      <t>-</t>
    </r>
    <r>
      <rPr>
        <sz val="7"/>
        <color theme="1"/>
        <rFont val="Times New Roman"/>
        <family val="1"/>
      </rPr>
      <t xml:space="preserve">       </t>
    </r>
    <r>
      <rPr>
        <sz val="8"/>
        <color theme="1"/>
        <rFont val="Tahoma"/>
        <family val="2"/>
      </rPr>
      <t>Sensitization of DMC LTs for sputum collection &amp; transport mechanism for culture &amp; DST</t>
    </r>
  </si>
  <si>
    <r>
      <t>-</t>
    </r>
    <r>
      <rPr>
        <sz val="7"/>
        <color theme="1"/>
        <rFont val="Times New Roman"/>
        <family val="1"/>
      </rPr>
      <t xml:space="preserve">       </t>
    </r>
    <r>
      <rPr>
        <sz val="8"/>
        <color theme="1"/>
        <rFont val="Tahoma"/>
        <family val="2"/>
      </rPr>
      <t>Orientation / sensitization of nursing staff, cv, pharmacists (school health/ NRHM) etc</t>
    </r>
  </si>
  <si>
    <t>Review meetings</t>
  </si>
  <si>
    <t>Q1</t>
  </si>
  <si>
    <t>Q2</t>
  </si>
  <si>
    <t>Q3</t>
  </si>
  <si>
    <t>Q4</t>
  </si>
  <si>
    <t>Number of Operational Research projects planned by the State</t>
  </si>
  <si>
    <t>Number submitted for approval/ already approved? (Yes/No)</t>
  </si>
  <si>
    <t>Section-A – General Information about the State</t>
  </si>
  <si>
    <t>Existing</t>
  </si>
  <si>
    <t>Number of Districts With DTC</t>
  </si>
  <si>
    <t>Name of the District</t>
  </si>
  <si>
    <t>Population (in Lakhs)</t>
  </si>
  <si>
    <t>No. of TUs</t>
  </si>
  <si>
    <t>No. of DMCs</t>
  </si>
  <si>
    <t>Govt</t>
  </si>
  <si>
    <t>NGO</t>
  </si>
  <si>
    <t>Public Sector*</t>
  </si>
  <si>
    <t>Private Sector^</t>
  </si>
  <si>
    <t>STATE TOTAL</t>
  </si>
  <si>
    <t>Organization of Services:</t>
  </si>
  <si>
    <t>Organization of TB-HIV &amp; PMDT services:</t>
  </si>
  <si>
    <t xml:space="preserve">Number of ART Centres </t>
  </si>
  <si>
    <t>Number of Link ART Centres</t>
  </si>
  <si>
    <t>Number of ICTCs</t>
  </si>
  <si>
    <t>Number of Facility Integrated ICTCs</t>
  </si>
  <si>
    <t>Number of the DRTB Centre</t>
  </si>
  <si>
    <t>Number of the Culture &amp; DST Laboratory</t>
  </si>
  <si>
    <t>Whether C-DST Lab is accredited</t>
  </si>
  <si>
    <t>Total number of patients put on treatment</t>
  </si>
  <si>
    <t>Annualized total case detection rate (per lakh pop)</t>
  </si>
  <si>
    <t>No of new smear positive cases put on treatment</t>
  </si>
  <si>
    <t>Annualized New smear positive case detection rate (per lakh pop)</t>
  </si>
  <si>
    <t>Success  rate for NSP cases detected in the last 4 corresponding quarters</t>
  </si>
  <si>
    <t>Plan for the next year</t>
  </si>
  <si>
    <t>Number of TB patients tested for HIV out of registered during previous 4 quarters</t>
  </si>
  <si>
    <t>No. of MDR TB suspects identified and subjected to C/DST *</t>
  </si>
  <si>
    <t>No. of TB patients registered on Cat IV / V regimen during the period*</t>
  </si>
  <si>
    <t>Annualized NSP CDR</t>
  </si>
  <si>
    <t xml:space="preserve">Success rate </t>
  </si>
  <si>
    <t xml:space="preserve">RNTCP performance indicators: </t>
  </si>
  <si>
    <t>S.No.</t>
  </si>
  <si>
    <t>Priority areas</t>
  </si>
  <si>
    <t>Activity planned under each priority area</t>
  </si>
  <si>
    <t>1 a)</t>
  </si>
  <si>
    <t>1 b)</t>
  </si>
  <si>
    <t>1 c)</t>
  </si>
  <si>
    <t>2 a)</t>
  </si>
  <si>
    <t>2 b)</t>
  </si>
  <si>
    <t>2 c)</t>
  </si>
  <si>
    <t>3 a)</t>
  </si>
  <si>
    <t>3 b)</t>
  </si>
  <si>
    <t>3 c)</t>
  </si>
  <si>
    <t>4 a)</t>
  </si>
  <si>
    <t>4 b)</t>
  </si>
  <si>
    <t xml:space="preserve">4 c) </t>
  </si>
  <si>
    <t>5 a)</t>
  </si>
  <si>
    <t>5 b)</t>
  </si>
  <si>
    <t>5 c)</t>
  </si>
  <si>
    <t xml:space="preserve">Section B – List Priority areas at the State level for achieving the objectives planned: </t>
  </si>
  <si>
    <r>
      <t xml:space="preserve"> </t>
    </r>
    <r>
      <rPr>
        <b/>
        <i/>
        <sz val="8"/>
        <color theme="1"/>
        <rFont val="Tahoma"/>
        <family val="2"/>
      </rPr>
      <t>Priority areas must be genuine, focused  and activities planned  to achve those must be executable.</t>
    </r>
  </si>
  <si>
    <t>S No</t>
  </si>
  <si>
    <t>Reason for inclusion in priority list</t>
  </si>
  <si>
    <t>Priority Districts for Supervision and Monitoring by State  during the next year</t>
  </si>
  <si>
    <t>All figures are actual number, except for population which is to be written in lakh</t>
  </si>
  <si>
    <t>Action Plan from districts should also be in district specific excel file.</t>
  </si>
  <si>
    <t>Norms in the NSP are indicative and should not be a limitation. In case of higher amount is budgeted, then proper justification will be required.</t>
  </si>
  <si>
    <t>State Government / Local Self Government Expenditure on TB Control</t>
  </si>
  <si>
    <t>Planned</t>
  </si>
  <si>
    <t>Unplanned</t>
  </si>
  <si>
    <t>Approved / Allocation</t>
  </si>
  <si>
    <t>Expenditure</t>
  </si>
  <si>
    <t>Section D: Summary of proposed budget for the State</t>
  </si>
  <si>
    <t>Salary Norms per annum</t>
  </si>
  <si>
    <t>2012-13 (Existing)</t>
  </si>
  <si>
    <t>2013-14 (Proposed)</t>
  </si>
  <si>
    <t>Revised National TB Control Program</t>
  </si>
  <si>
    <t>Name of the State:</t>
  </si>
  <si>
    <t>Section-A – General Information about the District</t>
  </si>
  <si>
    <t>Slum / Urban Poor population</t>
  </si>
  <si>
    <t>Does the district have a DTC</t>
  </si>
  <si>
    <t>No of TB Units in the district</t>
  </si>
  <si>
    <t>No of BPMUs in the district under NRHM</t>
  </si>
  <si>
    <t>No of DRTB Centres in the district</t>
  </si>
  <si>
    <t>No of C&amp;DST Labs in the district</t>
  </si>
  <si>
    <t xml:space="preserve">No required as per the norms in the District </t>
  </si>
  <si>
    <t>C&amp;DST Lab (Select Facilities from Drop down menu)</t>
  </si>
  <si>
    <t>2. Laboratory materials</t>
  </si>
  <si>
    <t>Amount permissible as per the norms in the District</t>
  </si>
  <si>
    <t>3. Honorarium</t>
  </si>
  <si>
    <t>Honorarium for DOT providers TUs / District for Cat I patients (NEW)</t>
  </si>
  <si>
    <t>4. Advocacy, Communication and Social Mobilization</t>
  </si>
  <si>
    <t>Name of the Activity</t>
  </si>
  <si>
    <t>Number of Activities undertaken in 2012-13</t>
  </si>
  <si>
    <t>Number of Activities undertaken in 13-14 (till Sep 2013)</t>
  </si>
  <si>
    <t>Number of Activities Proposed in 2014-15</t>
  </si>
  <si>
    <t>Budget proposed for next FY 2014-15</t>
  </si>
  <si>
    <t>Community meeting</t>
  </si>
  <si>
    <t>Patient provider meeting</t>
  </si>
  <si>
    <t>School Activity</t>
  </si>
  <si>
    <t>Outreach Activity</t>
  </si>
  <si>
    <t>CME</t>
  </si>
  <si>
    <t>5. Equipment maintenance</t>
  </si>
  <si>
    <t>No actually present in the District</t>
  </si>
  <si>
    <t>6. Training</t>
  </si>
  <si>
    <t>7. Vehicle maintenance</t>
  </si>
  <si>
    <t>8. Vehicle hiring</t>
  </si>
  <si>
    <t xml:space="preserve">No permissible as per norms in the District </t>
  </si>
  <si>
    <t>9. Public-private Mix: (PP/NGO Support)</t>
  </si>
  <si>
    <t xml:space="preserve">No. actually present in the district </t>
  </si>
  <si>
    <t>10. Medical Colleges</t>
  </si>
  <si>
    <t>Number of Medical Colleges Present in the district</t>
  </si>
  <si>
    <t xml:space="preserve"> Physical performance in last 4 quarters</t>
  </si>
  <si>
    <t>No. of All TB patients diagnosed</t>
  </si>
  <si>
    <t>No. of slides examined</t>
  </si>
  <si>
    <t>No. of TB patients referred for treatment outside medical college</t>
  </si>
  <si>
    <t>Number of Meetings:</t>
  </si>
  <si>
    <t>STF Meetings organization</t>
  </si>
  <si>
    <t>ZTF Meeting organization</t>
  </si>
  <si>
    <t>NTF Meeting organization</t>
  </si>
  <si>
    <t>11. Office Operations (Miscellaneous)</t>
  </si>
  <si>
    <t>DOTS Plus Site</t>
  </si>
  <si>
    <t>12. Contractual services</t>
  </si>
  <si>
    <t>Any Operational Research projects planned (Yes/No)</t>
  </si>
  <si>
    <t>No</t>
  </si>
  <si>
    <t>Names of the drugs</t>
  </si>
  <si>
    <t>17. Procurement of equipment</t>
  </si>
  <si>
    <r>
      <rPr>
        <sz val="16"/>
        <color theme="1"/>
        <rFont val="Arial"/>
        <family val="2"/>
      </rPr>
      <t>DTC</t>
    </r>
    <r>
      <rPr>
        <sz val="11"/>
        <color theme="1"/>
        <rFont val="Arial"/>
        <family val="2"/>
      </rPr>
      <t>-Computer, modem, scanner, printer, UPS etc</t>
    </r>
  </si>
  <si>
    <t>Barcode Printer</t>
  </si>
  <si>
    <t>Video Conferencing Unit and arrangements</t>
  </si>
  <si>
    <t>Any Other</t>
  </si>
  <si>
    <t>18. Patient Support and Transportation charges</t>
  </si>
  <si>
    <t>19. Supervision and Monitoring</t>
  </si>
  <si>
    <t>Section D: Summary of proposed budget for the District</t>
  </si>
  <si>
    <t>20. Additionality Funds from Disease Pool funds -                                                                                                                                                Details of the activities for which Additionality Funds are proposed to be sought.</t>
  </si>
  <si>
    <t>Formulae</t>
  </si>
  <si>
    <t>General Information</t>
  </si>
  <si>
    <t>LCD System</t>
  </si>
  <si>
    <t>Civil Works C&amp;DST Lab</t>
  </si>
  <si>
    <t>Medical College C&amp;DST Lab</t>
  </si>
  <si>
    <t>2015-16</t>
  </si>
  <si>
    <t>2014-15</t>
  </si>
  <si>
    <t>per cartridge / test (budget for 10*300 days per machine)</t>
  </si>
  <si>
    <t>Not applicable</t>
  </si>
  <si>
    <t>LCD Projector</t>
  </si>
  <si>
    <t>Laptop</t>
  </si>
  <si>
    <t>15% of cost</t>
  </si>
  <si>
    <t>Estimated expenditure for the 2014-15</t>
  </si>
  <si>
    <t>Additional enrolment proposed for the 2014-15</t>
  </si>
  <si>
    <t>No actually present/Planned for 2014-15</t>
  </si>
  <si>
    <t>Estimated Expenditure for the 2014-15 for which plan is being submitted (in Rs.)</t>
  </si>
  <si>
    <t>Estimated Expenditure for the 2014-15 (Rs.)</t>
  </si>
  <si>
    <t>Estimated exenditure for the 2014-15</t>
  </si>
  <si>
    <t>No planned for 2014-15</t>
  </si>
  <si>
    <t>Estimated Expenditure for the 2014-15 for which plan is being submitted (Rs.)</t>
  </si>
  <si>
    <t>Expenditure planned for 2013-14</t>
  </si>
  <si>
    <t>Amount proposed for maintenance during 2013-14</t>
  </si>
  <si>
    <t>Amount proposed during 2013-14</t>
  </si>
  <si>
    <t>Expenditure (in Rs) planned for 2013-14</t>
  </si>
  <si>
    <t>Estimated expenditure for FY 2014-15</t>
  </si>
  <si>
    <t>Eligibiity</t>
  </si>
  <si>
    <t>DMCs with Rapid Diagnostics /CBNAAT</t>
  </si>
  <si>
    <t>Justifications /Remarks</t>
  </si>
  <si>
    <t xml:space="preserve">No already upgraded/ to be upgraded in current FY </t>
  </si>
  <si>
    <t>Specimen processed / Slides examined</t>
  </si>
  <si>
    <t>Amount spent</t>
  </si>
  <si>
    <t>Specimen / Slide to be examined</t>
  </si>
  <si>
    <t>Budget proposed for 2014-15</t>
  </si>
  <si>
    <t>Amount proposed</t>
  </si>
  <si>
    <t>Performance in the last 4 quarters (in Rs.)</t>
  </si>
  <si>
    <t>Amount available in this head (Opening balance+ released by the state) (2012-13)</t>
  </si>
  <si>
    <t>Amount spent by district (2012-13)</t>
  </si>
  <si>
    <t>Approved ACSM Plan for 2013-14</t>
  </si>
  <si>
    <t>Amount spent in 2013-14 (till Sep 2013)</t>
  </si>
  <si>
    <t>Justifications / Remarks</t>
  </si>
  <si>
    <t>No. of personnel trained in last 4 quarters</t>
  </si>
  <si>
    <t>No.  / Amount permissible as per the norms</t>
  </si>
  <si>
    <t>Amount spent till Sep 2013</t>
  </si>
  <si>
    <t>Contractual Staff: Medical colleges</t>
  </si>
  <si>
    <t>No. of existing contractual post under RNTCP</t>
  </si>
  <si>
    <t>No. of contractual posts to be continued</t>
  </si>
  <si>
    <t>No. of additional posts for next year</t>
  </si>
  <si>
    <t>Amount spent in 2013-14 (till Sep 13)</t>
  </si>
  <si>
    <t>No. of non-DMC PHI</t>
  </si>
  <si>
    <t>Justification - Major New activities proposed</t>
  </si>
  <si>
    <t>Clearly mention - Why this is crucial for TB Control.</t>
  </si>
  <si>
    <t>Approved amount for FY 2013-14</t>
  </si>
  <si>
    <t>Under Municipal corporation/council/Cantonment board / Other</t>
  </si>
  <si>
    <t>Additional plan in        2015-16</t>
  </si>
  <si>
    <t>Additional plan in         2016-17</t>
  </si>
  <si>
    <t>REVISED NATIONAL TB CONTROL PROGRAM (RNTCP)</t>
  </si>
  <si>
    <t>No. of DMCs with  CBNAAT / rapid molecuar test</t>
  </si>
  <si>
    <t>Amount permissible as per the norms to non-salaried dot provider</t>
  </si>
  <si>
    <t>At the rate of Rs. 1000 per patient upon completion or cure</t>
  </si>
  <si>
    <t>At the rate of Rs. 1500 per patient upon completion or cure</t>
  </si>
  <si>
    <t>Justification is required wherever, district is budgeting more than norm, approved amount for current year.</t>
  </si>
  <si>
    <t>No. of TB suspects examined in DMC</t>
  </si>
  <si>
    <t>No. of Sm+ve patients diagnosed</t>
  </si>
  <si>
    <t>No. of registered TB patients with known HIV status</t>
  </si>
  <si>
    <t>No. of Total TB pateints registered under RNTCP</t>
  </si>
  <si>
    <t>No. of TB patients notified from private / NGO sector</t>
  </si>
  <si>
    <t>No. of TB pateints initiated on Cat IV</t>
  </si>
  <si>
    <t>No. of TB pateints initiated on Cat V</t>
  </si>
  <si>
    <t>No. of MDRTB suspects subjected to C/&amp;DST</t>
  </si>
  <si>
    <t>Any other (specify)</t>
  </si>
  <si>
    <t>Performance Achieved</t>
  </si>
  <si>
    <t>Performance to be Achieved</t>
  </si>
  <si>
    <t>Districts to plan for the PPM ACSM Coordinator, and the post of Communication facilitator to be discontinued.</t>
  </si>
  <si>
    <t>Contractual Services</t>
  </si>
  <si>
    <t>Medical college Head:</t>
  </si>
  <si>
    <t>PP/NGO Head:</t>
  </si>
  <si>
    <t>PPM/ACSM Coordinator</t>
  </si>
  <si>
    <t>In case the bi-furcation of expenditure is not available for a particular activity, then the total expenditure of that head can be shown in appropriate cell.</t>
  </si>
  <si>
    <t>Guidelines to use the Action plan format:</t>
  </si>
  <si>
    <t>Treatment success rate among NSP (%)</t>
  </si>
  <si>
    <t>Treatment success rate among Retreatment Sm+ve (%)</t>
  </si>
  <si>
    <t>District Infrastructure</t>
  </si>
  <si>
    <t>District Performance</t>
  </si>
  <si>
    <t>First Line Drugs</t>
  </si>
  <si>
    <t>Transportation charges - actual travel  fare by public transport for MDR TB patient and 1 attendant for travel to DTC/DOTS Plus Site/IRL for follow up examination</t>
  </si>
  <si>
    <t>Residents &amp; interns</t>
  </si>
  <si>
    <t>( c)</t>
  </si>
  <si>
    <t>No. in the District</t>
  </si>
  <si>
    <t>RNTCP Training Plan</t>
  </si>
  <si>
    <t>Upgradation / Maintenance</t>
  </si>
  <si>
    <t>Remarks</t>
  </si>
  <si>
    <t>Basick maintenance of Rs. 100000 per lab &amp; Rs. 25000 per additional technology</t>
  </si>
  <si>
    <t>2 wheeler district PPM coordinator</t>
  </si>
  <si>
    <t>2 wheeler senior DR TB HIV supervisor</t>
  </si>
  <si>
    <t>Rs.2000/‐ per patient at completion of IP</t>
  </si>
  <si>
    <t>Rs.3000/‐ per patient at completion of CP</t>
  </si>
  <si>
    <t>Injection prick charges to non-salaried person during TB treatment</t>
  </si>
  <si>
    <t>Rs. 25 per injection prick</t>
  </si>
  <si>
    <t>Sr. no.</t>
  </si>
  <si>
    <t>Scheme involved</t>
  </si>
  <si>
    <t>Amount paid / to be paid for 2013-14</t>
  </si>
  <si>
    <t>1. In case of individual PPs involved in Adherance scheme, district may mention as aggregate.</t>
  </si>
  <si>
    <t>Work done (quantify wherever possible) (e.g. No. of Slides examined in DMC scheme, No. of TB patients with non-salaried dot provider</t>
  </si>
  <si>
    <t>3 Activities to promote PP/NGO involvement like PP/NGO Workshop, can also be proposed and budgetted.</t>
  </si>
  <si>
    <t>4. In case the NGO / PP yet to be identified for next year, district may mention "New Partner to be identified" in Column B.</t>
  </si>
  <si>
    <t>5. Mentioning names of partner, does not mean approval. The approval to be done following guidelines for individual schemes.</t>
  </si>
  <si>
    <t>Scheme continued / Proposed / Innovations proposed</t>
  </si>
  <si>
    <t xml:space="preserve"> Name of the NGO / PP / Corporate hospital / Partner / Chemist etc.</t>
  </si>
  <si>
    <t>2. There is a scope for piloting / innovations. Approval will be provided on case to case basis. District / State may proposed for same and mention as "Innovation" and provide details in justification. Separate proposal for innovation will be required with justification.</t>
  </si>
  <si>
    <t>Travel support to co-infected TB patients (+1 attendant) for first visit to ART Centre</t>
  </si>
  <si>
    <t>Patients from tribal / difficult to access areas on completion of treatment as travel cost support as an aggregate amount</t>
  </si>
  <si>
    <t>Travel support to co-infected TB patient for first visit to ART Centre</t>
  </si>
  <si>
    <t>for one visit of patient + 1 attendant to ART Centre as per actuals with public transport or rate approved by society</t>
  </si>
  <si>
    <t>upto Rs. 500</t>
  </si>
  <si>
    <t>Injection prick charges to non-salaried provider</t>
  </si>
  <si>
    <t>per injection prick for TB treatment</t>
  </si>
  <si>
    <t>TB Health Visitor (including FTA)</t>
  </si>
  <si>
    <t>NSP - Approved Indicative Norms</t>
  </si>
  <si>
    <t>cost to volunteer for sputum collection in tribal / difficult to access areas</t>
  </si>
  <si>
    <t>per sample to non-salaried person</t>
  </si>
  <si>
    <t>No of TB Units in the State</t>
  </si>
  <si>
    <t>No of BPMUs in the state under NRHM</t>
  </si>
  <si>
    <t>No of DMCs in the state</t>
  </si>
  <si>
    <t>No of non-DMC PHIs in the state</t>
  </si>
  <si>
    <t>No of DMCs / health facilities with rapid molecular diagnostics (CBNAAT) in the state</t>
  </si>
  <si>
    <t>No of C&amp;DST Labs in the state</t>
  </si>
  <si>
    <t>No of DRTB Centres in the state</t>
  </si>
  <si>
    <t>State Level PP/NGO support / Innovations</t>
  </si>
  <si>
    <t>PP/NGO Support - District level</t>
  </si>
  <si>
    <t>Number of Medical Colleges in state</t>
  </si>
  <si>
    <t>Number of medical colleges recognized by MCI present in state</t>
  </si>
  <si>
    <t>Total - District level</t>
  </si>
  <si>
    <t>Total - State level</t>
  </si>
  <si>
    <t>Total - (District level+State level)</t>
  </si>
  <si>
    <t>Under Municipal corporation/council/ Cantonment area</t>
  </si>
  <si>
    <t>Number of STDC</t>
  </si>
  <si>
    <t>Number of SDS</t>
  </si>
  <si>
    <t>DISTRICT LEVEL (budgeted through the District Action Plan)</t>
  </si>
  <si>
    <t>Total (District level)</t>
  </si>
  <si>
    <t>TOTAL (State level + STDC + SDS + IRL)</t>
  </si>
  <si>
    <t>Name of State:</t>
  </si>
  <si>
    <t>TOTAL (State level)</t>
  </si>
  <si>
    <t>TOTAL (District level)</t>
  </si>
  <si>
    <t>Total (District level+State level)</t>
  </si>
  <si>
    <t>Name of District / State</t>
  </si>
  <si>
    <t>Total Population</t>
  </si>
  <si>
    <t>1st April 2015 to 31st March 2016</t>
  </si>
  <si>
    <t>Additional plan in           2015-16</t>
  </si>
  <si>
    <t>2014 (till Sep 2014)</t>
  </si>
  <si>
    <t>Number Planned to be upgraded during 2015-16</t>
  </si>
  <si>
    <t>Procurement planned during the 2014-15 (in Rs)</t>
  </si>
  <si>
    <t>Estimated expenditure for the 2015-16 for which plan is being submitted (in Rs)</t>
  </si>
  <si>
    <t>Expenditure planned for 2014-15</t>
  </si>
  <si>
    <t>Estimated expenditure for the 2015-16</t>
  </si>
  <si>
    <t>Additional enrolment proposed for the 2015-16</t>
  </si>
  <si>
    <t>Budget proposed in last Annual Action plan (2013-14)</t>
  </si>
  <si>
    <t>Amount available in this head (Opening balance+ recieved) (2014-14)</t>
  </si>
  <si>
    <t>Amount spent (2013-14)</t>
  </si>
  <si>
    <t>Approved ACSM Plan for 2014-15</t>
  </si>
  <si>
    <t>Amount spent in 2014-15 (till Sep 2014)</t>
  </si>
  <si>
    <t>Permissible Budget as per population norm for 2015-16</t>
  </si>
  <si>
    <t>Budget proposed for 2015-16</t>
  </si>
  <si>
    <t>Amount proposed for maintenance during 2014-15</t>
  </si>
  <si>
    <t>Amount proposed during 2014-15</t>
  </si>
  <si>
    <t>No actually present/Planned for 2015-16</t>
  </si>
  <si>
    <t>Expenditure (in Rs) planned for 2014-15</t>
  </si>
  <si>
    <t>Estimated Expenditure for the 2015-16 for which plan is being submitted (in Rs.)</t>
  </si>
  <si>
    <t>Estimated Expenditure for the 2015-16 (Rs.)</t>
  </si>
  <si>
    <t>Estimated exenditure for the 2015-16</t>
  </si>
  <si>
    <t>No planned for 2015-16</t>
  </si>
  <si>
    <t>Estimated Expenditure for the 2015-16 for which plan is being submitted (Rs.)</t>
  </si>
  <si>
    <t>Utilized (till Sep 2014)</t>
  </si>
  <si>
    <t xml:space="preserve">Budget estimate for the coming FY 2015 - 2016 (To be based on the planned activities and expenditure in Section C) </t>
  </si>
  <si>
    <t>Approved Budget for FY 2015-16</t>
  </si>
  <si>
    <t>Expenditure (till Sep 2014)</t>
  </si>
  <si>
    <t>Progress FY 2014-15</t>
  </si>
  <si>
    <t>Proposed FY 2015-16</t>
  </si>
  <si>
    <t>Amount paid / to be paid for 2014-15</t>
  </si>
  <si>
    <t>Honorarium for DOT providers in tribal TUs / District for Cat II patients (RETREATMENT)</t>
  </si>
  <si>
    <t>Proposed for 2015-16</t>
  </si>
  <si>
    <t>Procurement Planned during the 2014-15</t>
  </si>
  <si>
    <t>Estimated expenditure for FY 2015-16</t>
  </si>
  <si>
    <t>Additional plan  2014-15 (will be made till 31st March 2015)</t>
  </si>
  <si>
    <t>District Population (in lakh) please give projected population for next year 2015-16</t>
  </si>
  <si>
    <t>The Action plan should be filled in excel. Only shaded (Pink) cell should be filled in. Wherever the drop down menu is available, the same should be used. The formulae should not be disturbed / deleted in any cell. In case the cell changes its colour to red, re-assess the figures entered, and if it is justified, then do not worry about red colour. The hard copy should have print out of District, priority areas, organization of services, Contractual staff, RNTC training sheets. Save the file with same name - replacing the District word with name of your district. e.g. Action Plan Part III RNTCP Nalanda - 2nd Dec 2013</t>
  </si>
  <si>
    <t>All the data for previous 4 last quarters means Oct 2014 to Sep 2015.</t>
  </si>
  <si>
    <t>Decentralization of Tuberculosis Units at block level or 1.5 to 2.5 lakh population to be considered in 2015-16. All new TUs to be planned in 2015-16 across the state.</t>
  </si>
  <si>
    <t xml:space="preserve">As per the guidelines, the budget to be proposed for 2015-16 can have a rise of 15% each year; but in case a particular new activity is proposed, then additional budget over and above this limit may be proposed with proper justification. </t>
  </si>
  <si>
    <t xml:space="preserve">Budgets proposed for NGO/PP schemes will be as per new NGO/ PP Guidelines which has been circulated . </t>
  </si>
  <si>
    <r>
      <t xml:space="preserve">Under Honorarium head, the revised norms of Rs. 1000 for Cat I, Rs. 1500 for Cat II to be used for budgeting. </t>
    </r>
    <r>
      <rPr>
        <b/>
        <u/>
        <sz val="11"/>
        <color rgb="FF000000"/>
        <rFont val="Calibri"/>
        <family val="2"/>
        <scheme val="minor"/>
      </rPr>
      <t>Similarly patients from tribal areas / difficult to access areas, the norm for aggregate amount for travel support has been revised from Rs. 250 to Rs. 750  on completion of treatment. Similarly for MDR  &amp; XDR patients, this norm has been revised to double i.e. Rs. 5000 and to be used for budgeting purpose. Similarly, injection prick charges of Rs. 25 per prick to be provided, over and above the honorarium / incentive to non-salaried dot provider.</t>
    </r>
  </si>
  <si>
    <t>MDR TB and XDR TB suspects travel to DMC or sputum collection centre or DTC to be paid as per the actual with public transport. Similarly, travel cost to both MDR TB and XDR TB patients to DR-TB Centre or to district to be paid as per the actual with public transport.</t>
  </si>
  <si>
    <r>
      <t xml:space="preserve">Volunteer </t>
    </r>
    <r>
      <rPr>
        <b/>
        <strike/>
        <u/>
        <sz val="11"/>
        <color rgb="FFFF0000"/>
        <rFont val="Calibri"/>
        <family val="2"/>
        <scheme val="minor"/>
      </rPr>
      <t>in tribal areas / difficult to access areas</t>
    </r>
    <r>
      <rPr>
        <b/>
        <u/>
        <sz val="11"/>
        <color rgb="FFFF0000"/>
        <rFont val="Calibri"/>
        <family val="2"/>
        <scheme val="minor"/>
      </rPr>
      <t xml:space="preserve"> </t>
    </r>
    <r>
      <rPr>
        <b/>
        <u/>
        <sz val="11"/>
        <color rgb="FF000000"/>
        <rFont val="Calibri"/>
        <family val="2"/>
        <scheme val="minor"/>
      </rPr>
      <t>to be paid Rs. 25 per sample transported to DMC. Similarly a provision of travel expenses of upto Rs. 500 as per acutals by public transport or rates fixed by society can be provided to co-infected (TB+HIV) patients (+ one attendant) for first visit for ART Centre.</t>
    </r>
  </si>
  <si>
    <t>Vehicle hiring cost for transportation of drugs from district drug store to TU drug store to be included in the Office Operation.</t>
  </si>
  <si>
    <t xml:space="preserve">Training cost for ASHA or community DOT providers to be considered similar to paramedical staff. Training costs should include cost of hiring vehicle for field visit during training and audio visual aids. </t>
  </si>
  <si>
    <r>
      <t>Research proposals through task force mechanisms to be considered under Medical College Head. Research proposal other than from medical colleges to be considered under Research &amp; Studies &amp; Consultancy. Research proposals upto 5 lakhs may be approved by OR Committee of the STCS</t>
    </r>
    <r>
      <rPr>
        <sz val="8"/>
        <color theme="1"/>
        <rFont val="Calibri"/>
        <family val="2"/>
        <scheme val="minor"/>
      </rPr>
      <t> </t>
    </r>
    <r>
      <rPr>
        <sz val="11"/>
        <color rgb="FFFF0000"/>
        <rFont val="Calibri"/>
        <family val="2"/>
        <scheme val="minor"/>
      </rPr>
      <t>.</t>
    </r>
  </si>
  <si>
    <t>All TB patients residing in notified tribal area (as per tribal department) to be provided amount of Rs. 750 under patients support.</t>
  </si>
  <si>
    <t>In case of any query / difficutly, send an email to  kumars@rntcp.org</t>
  </si>
</sst>
</file>

<file path=xl/styles.xml><?xml version="1.0" encoding="utf-8"?>
<styleSheet xmlns="http://schemas.openxmlformats.org/spreadsheetml/2006/main" xmlns:mc="http://schemas.openxmlformats.org/markup-compatibility/2006" xmlns:x14ac="http://schemas.microsoft.com/office/spreadsheetml/2009/9/ac" mc:Ignorable="x14ac">
  <fonts count="7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Arial"/>
      <family val="2"/>
    </font>
    <font>
      <b/>
      <sz val="12"/>
      <color theme="1"/>
      <name val="Calibri"/>
      <family val="2"/>
      <scheme val="minor"/>
    </font>
    <font>
      <b/>
      <sz val="14"/>
      <name val="Arial"/>
      <family val="2"/>
    </font>
    <font>
      <sz val="12"/>
      <name val="Arial"/>
      <family val="2"/>
    </font>
    <font>
      <b/>
      <sz val="12"/>
      <name val="Arial"/>
      <family val="2"/>
    </font>
    <font>
      <sz val="12"/>
      <color theme="1"/>
      <name val="Arial"/>
      <family val="2"/>
    </font>
    <font>
      <b/>
      <sz val="14"/>
      <color theme="0"/>
      <name val="Arial"/>
      <family val="2"/>
    </font>
    <font>
      <b/>
      <sz val="11"/>
      <name val="Arial"/>
      <family val="2"/>
    </font>
    <font>
      <b/>
      <sz val="10"/>
      <name val="Arial"/>
      <family val="2"/>
    </font>
    <font>
      <sz val="10"/>
      <name val="Arial"/>
      <family val="2"/>
    </font>
    <font>
      <b/>
      <sz val="10"/>
      <color rgb="FF00B050"/>
      <name val="Arial"/>
      <family val="2"/>
    </font>
    <font>
      <b/>
      <sz val="11"/>
      <name val="Calibri"/>
      <family val="2"/>
      <scheme val="minor"/>
    </font>
    <font>
      <b/>
      <sz val="14"/>
      <color theme="1"/>
      <name val="Calibri"/>
      <family val="2"/>
      <scheme val="minor"/>
    </font>
    <font>
      <b/>
      <sz val="11"/>
      <color theme="1"/>
      <name val="Arial"/>
      <family val="2"/>
    </font>
    <font>
      <b/>
      <sz val="11"/>
      <color rgb="FF00B050"/>
      <name val="Arial"/>
      <family val="2"/>
    </font>
    <font>
      <sz val="11"/>
      <color theme="1"/>
      <name val="Arial"/>
      <family val="2"/>
    </font>
    <font>
      <sz val="11"/>
      <name val="Arial"/>
      <family val="2"/>
    </font>
    <font>
      <sz val="11"/>
      <color theme="1"/>
      <name val="Times New Roman"/>
      <family val="1"/>
    </font>
    <font>
      <b/>
      <sz val="14"/>
      <color rgb="FF00B050"/>
      <name val="Arial"/>
      <family val="2"/>
    </font>
    <font>
      <b/>
      <sz val="12"/>
      <color rgb="FF00B050"/>
      <name val="Arial"/>
      <family val="2"/>
    </font>
    <font>
      <sz val="14"/>
      <color theme="1"/>
      <name val="Calibri"/>
      <family val="2"/>
      <scheme val="minor"/>
    </font>
    <font>
      <sz val="10"/>
      <color theme="1"/>
      <name val="Arial"/>
      <family val="2"/>
    </font>
    <font>
      <b/>
      <sz val="8"/>
      <color theme="1"/>
      <name val="Tahoma"/>
      <family val="2"/>
    </font>
    <font>
      <b/>
      <sz val="11"/>
      <color rgb="FF00B050"/>
      <name val="Calibri"/>
      <family val="2"/>
      <scheme val="minor"/>
    </font>
    <font>
      <sz val="11"/>
      <name val="Calibri"/>
      <family val="2"/>
      <scheme val="minor"/>
    </font>
    <font>
      <b/>
      <sz val="11"/>
      <color theme="1"/>
      <name val="Tahoma"/>
      <family val="2"/>
    </font>
    <font>
      <sz val="7"/>
      <name val="Arial"/>
      <family val="2"/>
    </font>
    <font>
      <sz val="12"/>
      <color theme="1"/>
      <name val="Calibri"/>
      <family val="2"/>
      <scheme val="minor"/>
    </font>
    <font>
      <sz val="16"/>
      <color theme="1"/>
      <name val="Arial"/>
      <family val="2"/>
    </font>
    <font>
      <sz val="18"/>
      <color theme="1"/>
      <name val="Arial"/>
      <family val="2"/>
    </font>
    <font>
      <b/>
      <sz val="16"/>
      <color theme="1"/>
      <name val="Calibri"/>
      <family val="2"/>
      <scheme val="minor"/>
    </font>
    <font>
      <b/>
      <sz val="9"/>
      <color rgb="FF000000"/>
      <name val="Calibri"/>
      <family val="2"/>
    </font>
    <font>
      <sz val="9"/>
      <color theme="1"/>
      <name val="Calibri"/>
      <family val="2"/>
      <scheme val="minor"/>
    </font>
    <font>
      <b/>
      <sz val="9"/>
      <color theme="1"/>
      <name val="Calibri"/>
      <family val="2"/>
      <scheme val="minor"/>
    </font>
    <font>
      <sz val="8"/>
      <color theme="1"/>
      <name val="Tahoma"/>
      <family val="2"/>
    </font>
    <font>
      <sz val="11"/>
      <color rgb="FFFF0000"/>
      <name val="Times New Roman"/>
      <family val="1"/>
    </font>
    <font>
      <sz val="8"/>
      <color rgb="FFFF0000"/>
      <name val="Tahoma"/>
      <family val="2"/>
    </font>
    <font>
      <b/>
      <sz val="10"/>
      <color theme="1"/>
      <name val="Arial"/>
      <family val="2"/>
    </font>
    <font>
      <sz val="11"/>
      <color theme="0"/>
      <name val="Calibri"/>
      <family val="2"/>
      <scheme val="minor"/>
    </font>
    <font>
      <b/>
      <sz val="9"/>
      <color rgb="FF00B050"/>
      <name val="Arial"/>
      <family val="2"/>
    </font>
    <font>
      <sz val="10"/>
      <color indexed="8"/>
      <name val="MS Sans Serif"/>
      <family val="2"/>
    </font>
    <font>
      <sz val="12"/>
      <color indexed="8"/>
      <name val="Calibri"/>
      <family val="2"/>
      <scheme val="minor"/>
    </font>
    <font>
      <sz val="12"/>
      <name val="Calibri"/>
      <family val="2"/>
      <scheme val="minor"/>
    </font>
    <font>
      <sz val="12"/>
      <color rgb="FF000000"/>
      <name val="Calibri"/>
      <family val="2"/>
      <scheme val="minor"/>
    </font>
    <font>
      <b/>
      <sz val="14"/>
      <color theme="1"/>
      <name val="Arial"/>
      <family val="2"/>
    </font>
    <font>
      <sz val="10"/>
      <color theme="1"/>
      <name val="Calibri"/>
      <family val="2"/>
      <scheme val="minor"/>
    </font>
    <font>
      <b/>
      <sz val="8"/>
      <name val="Arial"/>
      <family val="2"/>
    </font>
    <font>
      <sz val="7"/>
      <color theme="1"/>
      <name val="Times New Roman"/>
      <family val="1"/>
    </font>
    <font>
      <sz val="9"/>
      <color indexed="81"/>
      <name val="Tahoma"/>
      <family val="2"/>
    </font>
    <font>
      <b/>
      <sz val="9"/>
      <color indexed="81"/>
      <name val="Tahoma"/>
      <family val="2"/>
    </font>
    <font>
      <sz val="12"/>
      <color theme="1"/>
      <name val="Times New Roman"/>
      <family val="1"/>
    </font>
    <font>
      <b/>
      <i/>
      <u/>
      <sz val="12"/>
      <name val="Times New Roman"/>
      <family val="1"/>
    </font>
    <font>
      <b/>
      <i/>
      <sz val="14"/>
      <color theme="1"/>
      <name val="Tahoma"/>
      <family val="2"/>
    </font>
    <font>
      <b/>
      <i/>
      <sz val="8"/>
      <color theme="1"/>
      <name val="Tahoma"/>
      <family val="2"/>
    </font>
    <font>
      <b/>
      <i/>
      <u/>
      <sz val="12"/>
      <color theme="1"/>
      <name val="Times New Roman"/>
      <family val="1"/>
    </font>
    <font>
      <b/>
      <i/>
      <sz val="12"/>
      <color theme="1"/>
      <name val="Times New Roman"/>
      <family val="1"/>
    </font>
    <font>
      <sz val="11"/>
      <color rgb="FF00B050"/>
      <name val="Arial"/>
      <family val="2"/>
    </font>
    <font>
      <b/>
      <sz val="8"/>
      <name val="Calibri"/>
      <family val="2"/>
      <scheme val="minor"/>
    </font>
    <font>
      <b/>
      <sz val="14"/>
      <color theme="1"/>
      <name val="Tahoma"/>
      <family val="2"/>
    </font>
    <font>
      <b/>
      <sz val="12"/>
      <color theme="0"/>
      <name val="Times New Roman"/>
      <family val="1"/>
    </font>
    <font>
      <b/>
      <sz val="12"/>
      <color theme="0"/>
      <name val="Calibri"/>
      <family val="2"/>
      <scheme val="minor"/>
    </font>
    <font>
      <b/>
      <sz val="12"/>
      <color theme="0"/>
      <name val="Tahoma"/>
      <family val="2"/>
    </font>
    <font>
      <b/>
      <sz val="9"/>
      <color theme="0"/>
      <name val="Calibri"/>
      <family val="2"/>
    </font>
    <font>
      <b/>
      <sz val="12"/>
      <color theme="0"/>
      <name val="Calibri"/>
      <family val="2"/>
    </font>
    <font>
      <sz val="9"/>
      <color theme="0"/>
      <name val="Calibri"/>
      <family val="2"/>
      <scheme val="minor"/>
    </font>
    <font>
      <b/>
      <sz val="9"/>
      <color theme="0"/>
      <name val="Calibri"/>
      <family val="2"/>
      <scheme val="minor"/>
    </font>
    <font>
      <strike/>
      <sz val="12"/>
      <color theme="1"/>
      <name val="Calibri"/>
      <family val="2"/>
      <scheme val="minor"/>
    </font>
    <font>
      <b/>
      <sz val="8"/>
      <color rgb="FF00B050"/>
      <name val="Arial"/>
      <family val="2"/>
    </font>
    <font>
      <sz val="11"/>
      <color rgb="FFFF0000"/>
      <name val="Calibri"/>
      <family val="2"/>
      <scheme val="minor"/>
    </font>
    <font>
      <sz val="11"/>
      <color rgb="FFFFFFFF"/>
      <name val="Calibri"/>
      <family val="2"/>
      <scheme val="minor"/>
    </font>
    <font>
      <b/>
      <sz val="11"/>
      <color rgb="FFFFFFFF"/>
      <name val="Calibri"/>
      <family val="2"/>
      <scheme val="minor"/>
    </font>
    <font>
      <sz val="11"/>
      <color rgb="FF000000"/>
      <name val="Calibri"/>
      <family val="2"/>
      <scheme val="minor"/>
    </font>
    <font>
      <b/>
      <u/>
      <sz val="11"/>
      <color rgb="FF000000"/>
      <name val="Calibri"/>
      <family val="2"/>
      <scheme val="minor"/>
    </font>
    <font>
      <b/>
      <strike/>
      <u/>
      <sz val="11"/>
      <color rgb="FFFF0000"/>
      <name val="Calibri"/>
      <family val="2"/>
      <scheme val="minor"/>
    </font>
    <font>
      <b/>
      <u/>
      <sz val="11"/>
      <color rgb="FFFF0000"/>
      <name val="Calibri"/>
      <family val="2"/>
      <scheme val="minor"/>
    </font>
    <font>
      <sz val="8"/>
      <color theme="1"/>
      <name val="Calibri"/>
      <family val="2"/>
      <scheme val="minor"/>
    </font>
  </fonts>
  <fills count="17">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rgb="FF92D050"/>
        <bgColor indexed="64"/>
      </patternFill>
    </fill>
    <fill>
      <patternFill patternType="solid">
        <fgColor theme="3" tint="0.59999389629810485"/>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bgColor indexed="64"/>
      </patternFill>
    </fill>
    <fill>
      <patternFill patternType="solid">
        <fgColor theme="0" tint="-4.9989318521683403E-2"/>
        <bgColor indexed="64"/>
      </patternFill>
    </fill>
    <fill>
      <patternFill patternType="solid">
        <fgColor rgb="FF4F81BD"/>
        <bgColor indexed="64"/>
      </patternFill>
    </fill>
    <fill>
      <patternFill patternType="solid">
        <fgColor rgb="FFFFFFFF"/>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bottom/>
      <diagonal/>
    </border>
  </borders>
  <cellStyleXfs count="4">
    <xf numFmtId="0" fontId="0" fillId="0" borderId="0"/>
    <xf numFmtId="9" fontId="1" fillId="0" borderId="0" applyFont="0" applyFill="0" applyBorder="0" applyAlignment="0" applyProtection="0"/>
    <xf numFmtId="0" fontId="1" fillId="0" borderId="0"/>
    <xf numFmtId="0" fontId="43" fillId="0" borderId="0"/>
  </cellStyleXfs>
  <cellXfs count="2034">
    <xf numFmtId="0" fontId="0" fillId="0" borderId="0" xfId="0"/>
    <xf numFmtId="0" fontId="4" fillId="0" borderId="1" xfId="0" applyFont="1" applyBorder="1" applyAlignment="1">
      <alignment horizontal="center"/>
    </xf>
    <xf numFmtId="0" fontId="3" fillId="0" borderId="1" xfId="0" applyFont="1" applyBorder="1" applyAlignment="1">
      <alignment horizontal="left" vertical="center" wrapText="1"/>
    </xf>
    <xf numFmtId="1" fontId="0" fillId="0" borderId="1" xfId="0" applyNumberFormat="1" applyBorder="1" applyAlignment="1">
      <alignment horizontal="center" vertical="center" wrapText="1"/>
    </xf>
    <xf numFmtId="1" fontId="0" fillId="0" borderId="1" xfId="0" applyNumberFormat="1" applyBorder="1"/>
    <xf numFmtId="0" fontId="4" fillId="0" borderId="1" xfId="0" applyFont="1" applyFill="1" applyBorder="1" applyAlignment="1">
      <alignment horizontal="center"/>
    </xf>
    <xf numFmtId="0" fontId="0" fillId="0" borderId="0" xfId="0" applyBorder="1"/>
    <xf numFmtId="0" fontId="0" fillId="0" borderId="0" xfId="0" applyBorder="1" applyAlignment="1">
      <alignment horizontal="center" wrapText="1"/>
    </xf>
    <xf numFmtId="0" fontId="2" fillId="0" borderId="1" xfId="0" applyFont="1" applyBorder="1" applyAlignment="1">
      <alignment horizontal="center" vertical="center"/>
    </xf>
    <xf numFmtId="0" fontId="0" fillId="0" borderId="0" xfId="0" applyFill="1" applyBorder="1"/>
    <xf numFmtId="0" fontId="0" fillId="0" borderId="6" xfId="0" applyBorder="1"/>
    <xf numFmtId="0" fontId="0" fillId="0" borderId="7" xfId="0" applyBorder="1"/>
    <xf numFmtId="0" fontId="7" fillId="0" borderId="0" xfId="0" applyFont="1" applyFill="1" applyBorder="1" applyAlignment="1">
      <alignment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Alignment="1">
      <alignment horizontal="center" vertical="center" wrapText="1"/>
    </xf>
    <xf numFmtId="0" fontId="14" fillId="0" borderId="1" xfId="0" applyFont="1" applyBorder="1" applyAlignment="1">
      <alignment horizontal="center" vertical="center" wrapText="1"/>
    </xf>
    <xf numFmtId="1" fontId="13" fillId="0" borderId="1" xfId="0" applyNumberFormat="1" applyFont="1" applyBorder="1" applyAlignment="1">
      <alignment horizontal="center" vertical="center" wrapText="1"/>
    </xf>
    <xf numFmtId="0" fontId="0" fillId="0" borderId="1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Fill="1" applyBorder="1" applyAlignment="1">
      <alignment horizontal="center" vertical="center"/>
    </xf>
    <xf numFmtId="1" fontId="14" fillId="0" borderId="1" xfId="0" applyNumberFormat="1" applyFont="1" applyBorder="1" applyAlignment="1">
      <alignment horizontal="center" vertical="center"/>
    </xf>
    <xf numFmtId="1" fontId="11" fillId="0" borderId="1" xfId="0" applyNumberFormat="1" applyFont="1" applyFill="1" applyBorder="1" applyAlignment="1">
      <alignment horizontal="center" vertical="center"/>
    </xf>
    <xf numFmtId="1" fontId="13" fillId="0" borderId="1" xfId="0" applyNumberFormat="1" applyFont="1" applyBorder="1" applyAlignment="1">
      <alignment horizontal="center" vertical="center"/>
    </xf>
    <xf numFmtId="1" fontId="13" fillId="7" borderId="1" xfId="0" applyNumberFormat="1" applyFont="1" applyFill="1" applyBorder="1" applyAlignment="1">
      <alignment horizontal="center" vertical="center"/>
    </xf>
    <xf numFmtId="0" fontId="0" fillId="7" borderId="1" xfId="0" applyFont="1" applyFill="1" applyBorder="1" applyAlignment="1">
      <alignment horizontal="center" vertical="center" wrapText="1"/>
    </xf>
    <xf numFmtId="0" fontId="0" fillId="7" borderId="1" xfId="0" applyFont="1" applyFill="1" applyBorder="1" applyAlignment="1">
      <alignment horizontal="center" vertical="center"/>
    </xf>
    <xf numFmtId="0" fontId="0" fillId="7" borderId="11" xfId="0" applyFont="1" applyFill="1" applyBorder="1" applyAlignment="1">
      <alignment horizontal="center" vertical="center" wrapText="1"/>
    </xf>
    <xf numFmtId="0" fontId="2" fillId="7" borderId="1" xfId="0" applyFont="1" applyFill="1" applyBorder="1" applyAlignment="1">
      <alignment horizontal="center" vertical="center"/>
    </xf>
    <xf numFmtId="9" fontId="2" fillId="7" borderId="1" xfId="1" applyFont="1" applyFill="1" applyBorder="1" applyAlignment="1">
      <alignment horizontal="center" vertical="center"/>
    </xf>
    <xf numFmtId="1" fontId="2" fillId="7" borderId="1" xfId="0" applyNumberFormat="1" applyFont="1" applyFill="1" applyBorder="1" applyAlignment="1">
      <alignment horizontal="center" vertical="center"/>
    </xf>
    <xf numFmtId="0" fontId="2" fillId="0" borderId="29" xfId="0" applyFont="1" applyBorder="1" applyAlignment="1">
      <alignment horizontal="center" vertical="center"/>
    </xf>
    <xf numFmtId="0" fontId="11" fillId="0" borderId="0" xfId="0" applyFont="1" applyBorder="1"/>
    <xf numFmtId="0" fontId="11" fillId="0" borderId="0" xfId="0" applyFont="1"/>
    <xf numFmtId="0" fontId="12" fillId="0" borderId="0" xfId="0" applyFont="1" applyFill="1" applyBorder="1" applyAlignment="1">
      <alignment horizontal="center" vertical="center" wrapText="1"/>
    </xf>
    <xf numFmtId="0" fontId="11" fillId="8" borderId="36" xfId="0" applyFont="1" applyFill="1" applyBorder="1" applyAlignment="1">
      <alignment horizontal="left"/>
    </xf>
    <xf numFmtId="0" fontId="11" fillId="8" borderId="36" xfId="0" applyFont="1" applyFill="1" applyBorder="1" applyAlignment="1">
      <alignment horizontal="center" vertical="center"/>
    </xf>
    <xf numFmtId="0" fontId="11" fillId="0" borderId="36" xfId="0" applyFont="1" applyBorder="1" applyAlignment="1">
      <alignment horizontal="center" vertical="center"/>
    </xf>
    <xf numFmtId="0" fontId="11" fillId="0" borderId="40" xfId="0" applyFont="1" applyBorder="1" applyAlignment="1">
      <alignment horizontal="center" vertical="center"/>
    </xf>
    <xf numFmtId="9" fontId="11" fillId="0" borderId="36" xfId="1" applyFont="1" applyBorder="1" applyAlignment="1">
      <alignment horizontal="center" vertical="center"/>
    </xf>
    <xf numFmtId="1" fontId="11" fillId="0" borderId="37" xfId="0" applyNumberFormat="1" applyFont="1" applyBorder="1" applyAlignment="1">
      <alignment horizontal="center" vertical="center"/>
    </xf>
    <xf numFmtId="0" fontId="11" fillId="0" borderId="0" xfId="0" applyFont="1" applyBorder="1" applyAlignment="1">
      <alignment horizontal="right"/>
    </xf>
    <xf numFmtId="0" fontId="11" fillId="0" borderId="0" xfId="0" applyFont="1" applyBorder="1" applyAlignment="1">
      <alignment horizontal="center"/>
    </xf>
    <xf numFmtId="0" fontId="11" fillId="0" borderId="0" xfId="0" applyFont="1" applyBorder="1" applyAlignment="1">
      <alignment horizontal="right" vertical="center"/>
    </xf>
    <xf numFmtId="0" fontId="11" fillId="0" borderId="0" xfId="0" applyFont="1" applyBorder="1" applyAlignment="1">
      <alignment horizontal="center" vertical="center"/>
    </xf>
    <xf numFmtId="9" fontId="11" fillId="0" borderId="0" xfId="1" applyFont="1" applyBorder="1" applyAlignment="1">
      <alignment horizontal="center" vertical="center"/>
    </xf>
    <xf numFmtId="1" fontId="11" fillId="0" borderId="0" xfId="0" applyNumberFormat="1" applyFont="1" applyBorder="1" applyAlignment="1">
      <alignment horizontal="center" vertical="center"/>
    </xf>
    <xf numFmtId="0" fontId="12" fillId="0" borderId="0" xfId="0" applyFont="1" applyBorder="1" applyAlignment="1">
      <alignment horizontal="center" wrapText="1"/>
    </xf>
    <xf numFmtId="0" fontId="0" fillId="0" borderId="0" xfId="0" applyBorder="1" applyAlignment="1">
      <alignment horizontal="center"/>
    </xf>
    <xf numFmtId="1" fontId="12" fillId="0" borderId="1" xfId="0" applyNumberFormat="1" applyFont="1" applyBorder="1" applyAlignment="1">
      <alignment horizontal="center" vertical="center"/>
    </xf>
    <xf numFmtId="1" fontId="11" fillId="0" borderId="1" xfId="0" applyNumberFormat="1" applyFont="1" applyBorder="1" applyAlignment="1">
      <alignment horizontal="center" vertical="center"/>
    </xf>
    <xf numFmtId="1" fontId="11" fillId="0" borderId="29" xfId="0" applyNumberFormat="1" applyFont="1" applyBorder="1" applyAlignment="1">
      <alignment horizontal="center" vertical="center"/>
    </xf>
    <xf numFmtId="9" fontId="11" fillId="0" borderId="36" xfId="1" applyFont="1" applyFill="1" applyBorder="1" applyAlignment="1">
      <alignment horizontal="center" vertical="center" wrapText="1"/>
    </xf>
    <xf numFmtId="0" fontId="2" fillId="0" borderId="0" xfId="0" applyFont="1" applyBorder="1"/>
    <xf numFmtId="0" fontId="16" fillId="0" borderId="0" xfId="0" applyFont="1" applyBorder="1" applyAlignment="1">
      <alignment horizontal="center" vertical="center"/>
    </xf>
    <xf numFmtId="1" fontId="18" fillId="0" borderId="29" xfId="0" applyNumberFormat="1" applyFont="1" applyBorder="1" applyAlignment="1">
      <alignment horizontal="center" vertical="center"/>
    </xf>
    <xf numFmtId="1" fontId="15" fillId="0" borderId="36" xfId="0" applyNumberFormat="1" applyFont="1" applyBorder="1" applyAlignment="1">
      <alignment horizontal="center"/>
    </xf>
    <xf numFmtId="9" fontId="5" fillId="0" borderId="36" xfId="1" applyFont="1" applyBorder="1" applyAlignment="1">
      <alignment horizontal="center" wrapText="1"/>
    </xf>
    <xf numFmtId="1" fontId="5" fillId="0" borderId="37" xfId="0" applyNumberFormat="1" applyFont="1" applyBorder="1" applyAlignment="1">
      <alignment horizontal="center" vertical="center" wrapText="1"/>
    </xf>
    <xf numFmtId="1" fontId="0" fillId="0" borderId="0" xfId="0" applyNumberFormat="1" applyBorder="1" applyAlignment="1">
      <alignment horizontal="center"/>
    </xf>
    <xf numFmtId="0" fontId="11" fillId="0" borderId="0" xfId="0" applyFont="1" applyBorder="1" applyAlignment="1">
      <alignment horizontal="center" wrapText="1"/>
    </xf>
    <xf numFmtId="0" fontId="11" fillId="0" borderId="0" xfId="0" applyFont="1" applyBorder="1" applyAlignment="1">
      <alignment horizontal="right" wrapText="1"/>
    </xf>
    <xf numFmtId="0" fontId="11" fillId="0" borderId="0" xfId="0" applyFont="1" applyBorder="1" applyAlignment="1">
      <alignment wrapText="1"/>
    </xf>
    <xf numFmtId="9" fontId="11" fillId="0" borderId="0" xfId="1" applyFont="1" applyBorder="1" applyAlignment="1">
      <alignment wrapText="1"/>
    </xf>
    <xf numFmtId="0" fontId="16" fillId="0" borderId="36" xfId="0" applyFont="1" applyBorder="1" applyAlignment="1">
      <alignment horizontal="center" vertical="center" wrapText="1"/>
    </xf>
    <xf numFmtId="0" fontId="20" fillId="0" borderId="41" xfId="0" applyFont="1" applyBorder="1" applyAlignment="1">
      <alignment vertical="center" wrapText="1"/>
    </xf>
    <xf numFmtId="0" fontId="10" fillId="0" borderId="0" xfId="0" applyFont="1" applyFill="1" applyBorder="1" applyAlignment="1">
      <alignment horizontal="center" vertical="center"/>
    </xf>
    <xf numFmtId="0" fontId="0" fillId="0" borderId="0" xfId="0" applyBorder="1" applyAlignment="1">
      <alignment horizontal="right"/>
    </xf>
    <xf numFmtId="0" fontId="18" fillId="0" borderId="6" xfId="0" applyFont="1" applyBorder="1"/>
    <xf numFmtId="0" fontId="19" fillId="0" borderId="6" xfId="0" applyFont="1" applyBorder="1" applyAlignment="1">
      <alignment vertical="center"/>
    </xf>
    <xf numFmtId="0" fontId="0" fillId="0" borderId="0" xfId="0" applyAlignment="1">
      <alignment wrapText="1"/>
    </xf>
    <xf numFmtId="0" fontId="0" fillId="0" borderId="0" xfId="0" applyBorder="1" applyAlignment="1">
      <alignment wrapText="1"/>
    </xf>
    <xf numFmtId="0" fontId="5" fillId="0" borderId="0" xfId="0" applyFont="1" applyBorder="1" applyAlignment="1">
      <alignment horizontal="center" vertical="center"/>
    </xf>
    <xf numFmtId="0" fontId="17" fillId="0" borderId="23" xfId="0" applyFont="1" applyBorder="1" applyAlignment="1">
      <alignment vertical="center" wrapText="1"/>
    </xf>
    <xf numFmtId="0" fontId="17" fillId="0" borderId="0" xfId="0" applyFont="1" applyBorder="1" applyAlignment="1">
      <alignment vertical="center" wrapText="1"/>
    </xf>
    <xf numFmtId="0" fontId="0" fillId="0" borderId="0" xfId="0" applyBorder="1" applyAlignment="1">
      <alignment vertical="center" wrapText="1"/>
    </xf>
    <xf numFmtId="0" fontId="12" fillId="0" borderId="0" xfId="0" applyFont="1" applyBorder="1" applyAlignment="1">
      <alignment vertical="center" wrapText="1"/>
    </xf>
    <xf numFmtId="1" fontId="7" fillId="0" borderId="37" xfId="0" applyNumberFormat="1" applyFont="1" applyBorder="1" applyAlignment="1">
      <alignment horizontal="center" vertical="center"/>
    </xf>
    <xf numFmtId="0" fontId="7" fillId="0" borderId="0" xfId="0" applyFont="1" applyFill="1" applyBorder="1"/>
    <xf numFmtId="0" fontId="13" fillId="0" borderId="0" xfId="0" applyFont="1" applyFill="1" applyBorder="1" applyAlignment="1">
      <alignment horizontal="center" vertical="center"/>
    </xf>
    <xf numFmtId="0" fontId="7" fillId="0" borderId="0" xfId="0" applyFont="1" applyFill="1" applyBorder="1" applyAlignment="1">
      <alignment horizontal="center"/>
    </xf>
    <xf numFmtId="0" fontId="11" fillId="0" borderId="0" xfId="0" applyFont="1" applyFill="1" applyBorder="1" applyAlignment="1">
      <alignment horizontal="center"/>
    </xf>
    <xf numFmtId="9" fontId="11" fillId="0" borderId="0" xfId="1" applyFont="1" applyFill="1" applyBorder="1" applyAlignment="1">
      <alignment horizontal="center" vertical="center"/>
    </xf>
    <xf numFmtId="9" fontId="7" fillId="0" borderId="0" xfId="1" applyFont="1" applyFill="1" applyBorder="1" applyAlignment="1">
      <alignment horizontal="center" vertical="center"/>
    </xf>
    <xf numFmtId="1" fontId="11" fillId="0" borderId="0" xfId="0" applyNumberFormat="1" applyFont="1" applyFill="1" applyBorder="1" applyAlignment="1">
      <alignment horizontal="center" vertical="center"/>
    </xf>
    <xf numFmtId="0" fontId="11" fillId="0" borderId="0" xfId="0" applyFont="1" applyFill="1" applyBorder="1"/>
    <xf numFmtId="0" fontId="0" fillId="0" borderId="6" xfId="0" applyBorder="1" applyAlignment="1">
      <alignment horizontal="center"/>
    </xf>
    <xf numFmtId="0" fontId="12" fillId="0" borderId="6" xfId="0" applyFont="1" applyBorder="1" applyAlignment="1">
      <alignment vertical="center"/>
    </xf>
    <xf numFmtId="0" fontId="0" fillId="0" borderId="7" xfId="0" applyBorder="1" applyAlignment="1">
      <alignment horizontal="center"/>
    </xf>
    <xf numFmtId="0" fontId="0" fillId="0" borderId="8" xfId="0" applyBorder="1" applyAlignment="1">
      <alignment horizontal="center" vertical="center" wrapText="1"/>
    </xf>
    <xf numFmtId="9" fontId="0" fillId="0" borderId="5" xfId="1" applyFont="1" applyBorder="1" applyAlignment="1">
      <alignment horizontal="center" vertical="center"/>
    </xf>
    <xf numFmtId="1" fontId="0" fillId="0" borderId="29" xfId="0" applyNumberFormat="1" applyFill="1" applyBorder="1" applyAlignment="1">
      <alignment horizontal="center" vertical="center"/>
    </xf>
    <xf numFmtId="9" fontId="0" fillId="0" borderId="29" xfId="1" applyFont="1" applyFill="1" applyBorder="1" applyAlignment="1">
      <alignment horizontal="center" vertical="center"/>
    </xf>
    <xf numFmtId="1" fontId="0" fillId="0" borderId="14" xfId="0" applyNumberFormat="1" applyBorder="1" applyAlignment="1">
      <alignment horizontal="center" vertical="center"/>
    </xf>
    <xf numFmtId="1" fontId="0" fillId="0" borderId="29" xfId="0" applyNumberFormat="1" applyBorder="1" applyAlignment="1">
      <alignment horizontal="center" vertical="center"/>
    </xf>
    <xf numFmtId="1" fontId="22" fillId="0" borderId="36" xfId="0" applyNumberFormat="1" applyFont="1" applyBorder="1" applyAlignment="1">
      <alignment horizontal="center" vertical="center"/>
    </xf>
    <xf numFmtId="9" fontId="7" fillId="0" borderId="34" xfId="1" applyFont="1" applyBorder="1" applyAlignment="1">
      <alignment horizontal="center" vertical="center"/>
    </xf>
    <xf numFmtId="9" fontId="7" fillId="0" borderId="36" xfId="1" applyFont="1" applyBorder="1" applyAlignment="1">
      <alignment horizontal="center" vertical="center"/>
    </xf>
    <xf numFmtId="0" fontId="4" fillId="0" borderId="0" xfId="0" applyFont="1" applyBorder="1"/>
    <xf numFmtId="0" fontId="11" fillId="0" borderId="0" xfId="0" applyFont="1" applyFill="1" applyBorder="1" applyAlignment="1">
      <alignment horizontal="right"/>
    </xf>
    <xf numFmtId="0" fontId="0" fillId="0" borderId="0" xfId="0" applyFill="1" applyBorder="1" applyAlignment="1">
      <alignment horizontal="center" vertical="center" wrapText="1"/>
    </xf>
    <xf numFmtId="0" fontId="0" fillId="0" borderId="0" xfId="0" applyFill="1"/>
    <xf numFmtId="0" fontId="23" fillId="0" borderId="0" xfId="0" applyFont="1" applyBorder="1"/>
    <xf numFmtId="0" fontId="23" fillId="0" borderId="0" xfId="0" applyFont="1"/>
    <xf numFmtId="1" fontId="0" fillId="0" borderId="1" xfId="0" applyNumberFormat="1" applyBorder="1" applyAlignment="1">
      <alignment horizontal="center" vertical="center"/>
    </xf>
    <xf numFmtId="0" fontId="3" fillId="0" borderId="36" xfId="0" applyFont="1" applyBorder="1" applyAlignment="1">
      <alignment horizontal="center" vertical="center" wrapText="1"/>
    </xf>
    <xf numFmtId="0" fontId="7" fillId="0" borderId="0" xfId="0" applyFont="1" applyBorder="1"/>
    <xf numFmtId="0" fontId="13" fillId="0" borderId="0" xfId="0" applyFont="1" applyFill="1" applyBorder="1" applyAlignment="1">
      <alignment horizontal="center" vertical="center" wrapText="1"/>
    </xf>
    <xf numFmtId="9" fontId="0" fillId="0" borderId="0" xfId="1" applyFont="1" applyFill="1" applyBorder="1" applyAlignment="1">
      <alignment horizontal="center" vertical="center"/>
    </xf>
    <xf numFmtId="9" fontId="12" fillId="0" borderId="0" xfId="1" applyFont="1" applyBorder="1" applyAlignment="1">
      <alignment horizontal="center" vertical="center" wrapText="1"/>
    </xf>
    <xf numFmtId="0" fontId="0" fillId="0" borderId="13" xfId="0" applyFont="1" applyBorder="1" applyAlignment="1">
      <alignment horizontal="center" vertical="center" wrapText="1"/>
    </xf>
    <xf numFmtId="0" fontId="26" fillId="0" borderId="1" xfId="0" applyFont="1" applyFill="1" applyBorder="1" applyAlignment="1">
      <alignment horizontal="center" vertical="center" wrapText="1"/>
    </xf>
    <xf numFmtId="0" fontId="0" fillId="0" borderId="13" xfId="0" applyFont="1" applyBorder="1" applyAlignment="1">
      <alignment horizontal="left" vertical="center" wrapText="1"/>
    </xf>
    <xf numFmtId="1" fontId="0" fillId="8" borderId="1" xfId="0" applyNumberFormat="1" applyFont="1" applyFill="1" applyBorder="1" applyAlignment="1">
      <alignment horizontal="center" vertical="center" wrapText="1"/>
    </xf>
    <xf numFmtId="0" fontId="0" fillId="0" borderId="13" xfId="0" applyFont="1" applyBorder="1" applyAlignment="1">
      <alignment vertical="center" wrapText="1"/>
    </xf>
    <xf numFmtId="0" fontId="0" fillId="0" borderId="39" xfId="0" applyFont="1" applyBorder="1" applyAlignment="1">
      <alignment vertical="center" wrapText="1"/>
    </xf>
    <xf numFmtId="1" fontId="12" fillId="0" borderId="29" xfId="0" applyNumberFormat="1" applyFont="1" applyBorder="1" applyAlignment="1">
      <alignment horizontal="center" vertical="center"/>
    </xf>
    <xf numFmtId="1" fontId="2" fillId="0" borderId="36" xfId="0" applyNumberFormat="1" applyFont="1" applyBorder="1" applyAlignment="1">
      <alignment horizontal="center" vertical="center"/>
    </xf>
    <xf numFmtId="1" fontId="14" fillId="0" borderId="36" xfId="0" applyNumberFormat="1" applyFont="1" applyBorder="1" applyAlignment="1">
      <alignment horizontal="center" vertical="center"/>
    </xf>
    <xf numFmtId="9" fontId="14" fillId="0" borderId="36" xfId="1" applyFont="1" applyBorder="1" applyAlignment="1">
      <alignment horizontal="center" vertical="center"/>
    </xf>
    <xf numFmtId="1" fontId="14" fillId="0" borderId="37" xfId="0" applyNumberFormat="1" applyFont="1" applyBorder="1" applyAlignment="1">
      <alignment horizontal="center" vertical="center"/>
    </xf>
    <xf numFmtId="0" fontId="19" fillId="0" borderId="0" xfId="0" applyFont="1" applyBorder="1" applyAlignment="1">
      <alignment horizontal="left" vertical="center" wrapText="1"/>
    </xf>
    <xf numFmtId="1" fontId="19" fillId="0" borderId="0" xfId="0" applyNumberFormat="1" applyFont="1" applyBorder="1" applyAlignment="1">
      <alignment horizontal="center" vertical="center" wrapText="1"/>
    </xf>
    <xf numFmtId="0" fontId="19" fillId="5" borderId="1" xfId="0" applyFont="1" applyFill="1" applyBorder="1" applyAlignment="1">
      <alignment vertical="center" wrapText="1"/>
    </xf>
    <xf numFmtId="0" fontId="0" fillId="5" borderId="1" xfId="0" applyFill="1" applyBorder="1"/>
    <xf numFmtId="0" fontId="10" fillId="5" borderId="1" xfId="0" applyFont="1" applyFill="1" applyBorder="1" applyAlignment="1">
      <alignment horizontal="center" vertical="center" wrapText="1"/>
    </xf>
    <xf numFmtId="9" fontId="2" fillId="0" borderId="36" xfId="1" applyFont="1" applyBorder="1" applyAlignment="1">
      <alignment horizontal="center" vertical="center"/>
    </xf>
    <xf numFmtId="1" fontId="2" fillId="0" borderId="37" xfId="0" applyNumberFormat="1" applyFont="1" applyBorder="1" applyAlignment="1">
      <alignment horizontal="center" vertical="center"/>
    </xf>
    <xf numFmtId="0" fontId="0" fillId="0" borderId="30" xfId="0" applyBorder="1"/>
    <xf numFmtId="0" fontId="23" fillId="0" borderId="0" xfId="0" applyFont="1" applyBorder="1" applyAlignment="1">
      <alignment wrapText="1"/>
    </xf>
    <xf numFmtId="0" fontId="12" fillId="0" borderId="0" xfId="0" applyFont="1" applyFill="1" applyBorder="1" applyAlignment="1">
      <alignment horizontal="center" vertical="top" wrapText="1"/>
    </xf>
    <xf numFmtId="0" fontId="13" fillId="0" borderId="1" xfId="0" applyFont="1" applyFill="1" applyBorder="1" applyAlignment="1">
      <alignment horizontal="center" vertical="center" wrapText="1"/>
    </xf>
    <xf numFmtId="0" fontId="18" fillId="0" borderId="13" xfId="0" applyFont="1" applyBorder="1" applyAlignment="1">
      <alignment vertical="center" wrapText="1"/>
    </xf>
    <xf numFmtId="0" fontId="18" fillId="0" borderId="39" xfId="0" applyFont="1" applyBorder="1" applyAlignment="1">
      <alignment vertical="center" wrapText="1"/>
    </xf>
    <xf numFmtId="9" fontId="2" fillId="0" borderId="36" xfId="1" applyFont="1" applyFill="1" applyBorder="1" applyAlignment="1">
      <alignment horizontal="center" vertical="center"/>
    </xf>
    <xf numFmtId="0" fontId="11" fillId="0" borderId="0" xfId="0" applyFont="1" applyFill="1" applyBorder="1" applyAlignment="1">
      <alignment horizontal="center" vertical="center"/>
    </xf>
    <xf numFmtId="9" fontId="0" fillId="0" borderId="0" xfId="1" applyFont="1" applyFill="1" applyBorder="1" applyAlignment="1">
      <alignment horizontal="center"/>
    </xf>
    <xf numFmtId="9" fontId="0" fillId="0" borderId="59" xfId="1" applyFont="1" applyFill="1" applyBorder="1" applyAlignment="1">
      <alignment horizontal="center"/>
    </xf>
    <xf numFmtId="0" fontId="0" fillId="0" borderId="0" xfId="0" applyFill="1" applyBorder="1" applyAlignment="1">
      <alignment horizontal="center" vertical="center"/>
    </xf>
    <xf numFmtId="0" fontId="23" fillId="0" borderId="0" xfId="0" applyFont="1" applyBorder="1" applyAlignment="1">
      <alignment horizontal="center" vertical="center" wrapText="1"/>
    </xf>
    <xf numFmtId="0" fontId="23" fillId="0" borderId="0" xfId="0" applyFont="1" applyAlignment="1">
      <alignment horizontal="center" vertical="center" wrapText="1"/>
    </xf>
    <xf numFmtId="0" fontId="0" fillId="0" borderId="0" xfId="0" applyFill="1" applyBorder="1" applyAlignment="1">
      <alignment vertical="center" wrapText="1"/>
    </xf>
    <xf numFmtId="9" fontId="0" fillId="0" borderId="0" xfId="1" applyFont="1" applyFill="1" applyBorder="1" applyAlignment="1">
      <alignment horizontal="center" vertical="center" wrapText="1"/>
    </xf>
    <xf numFmtId="9" fontId="12" fillId="0" borderId="0" xfId="1" applyFont="1" applyFill="1" applyBorder="1" applyAlignment="1">
      <alignment horizontal="center" vertical="center"/>
    </xf>
    <xf numFmtId="1" fontId="12" fillId="0" borderId="0" xfId="0" applyNumberFormat="1" applyFont="1" applyFill="1" applyBorder="1" applyAlignment="1">
      <alignment horizontal="center" vertical="center"/>
    </xf>
    <xf numFmtId="0" fontId="0" fillId="0" borderId="13" xfId="0" applyBorder="1" applyAlignment="1">
      <alignment horizontal="center" vertical="top" wrapText="1"/>
    </xf>
    <xf numFmtId="0" fontId="28" fillId="5" borderId="13" xfId="0" applyFont="1" applyFill="1" applyBorder="1" applyAlignment="1">
      <alignment vertical="center" wrapText="1"/>
    </xf>
    <xf numFmtId="1" fontId="14" fillId="5" borderId="1" xfId="0" applyNumberFormat="1" applyFont="1" applyFill="1" applyBorder="1" applyAlignment="1">
      <alignment horizontal="center" vertical="center" wrapText="1"/>
    </xf>
    <xf numFmtId="0" fontId="16" fillId="0" borderId="0" xfId="0" applyFont="1" applyFill="1" applyBorder="1" applyAlignment="1">
      <alignment horizontal="right" vertical="center" wrapText="1"/>
    </xf>
    <xf numFmtId="1" fontId="0" fillId="0" borderId="0" xfId="0" applyNumberFormat="1" applyFill="1" applyBorder="1" applyAlignment="1">
      <alignment horizontal="center" vertical="center"/>
    </xf>
    <xf numFmtId="0" fontId="0" fillId="0" borderId="0" xfId="0" applyAlignment="1">
      <alignment horizontal="center"/>
    </xf>
    <xf numFmtId="9" fontId="0" fillId="2" borderId="29" xfId="1" applyFont="1" applyFill="1" applyBorder="1" applyAlignment="1">
      <alignment horizontal="center" vertical="center"/>
    </xf>
    <xf numFmtId="0" fontId="30" fillId="0" borderId="0" xfId="0" applyFont="1" applyBorder="1"/>
    <xf numFmtId="0" fontId="3" fillId="0" borderId="1" xfId="0" applyFont="1" applyBorder="1" applyAlignment="1">
      <alignment horizontal="center" vertical="center" wrapText="1"/>
    </xf>
    <xf numFmtId="9" fontId="30" fillId="0" borderId="1" xfId="1" applyFont="1" applyBorder="1" applyAlignment="1">
      <alignment horizontal="center" vertical="center"/>
    </xf>
    <xf numFmtId="0" fontId="3" fillId="0" borderId="29" xfId="0" applyFont="1" applyBorder="1" applyAlignment="1">
      <alignment horizontal="left" vertical="center" wrapText="1"/>
    </xf>
    <xf numFmtId="9" fontId="30" fillId="0" borderId="29" xfId="1" applyFont="1" applyBorder="1" applyAlignment="1">
      <alignment horizontal="center" vertical="center"/>
    </xf>
    <xf numFmtId="9" fontId="30" fillId="0" borderId="36" xfId="1" applyFont="1" applyBorder="1" applyAlignment="1">
      <alignment horizontal="center" vertical="center"/>
    </xf>
    <xf numFmtId="9" fontId="30" fillId="0" borderId="50" xfId="1" applyFont="1" applyBorder="1" applyAlignment="1">
      <alignment horizontal="center" vertical="center"/>
    </xf>
    <xf numFmtId="0" fontId="4" fillId="0" borderId="8" xfId="0" applyFont="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9" fontId="2" fillId="2" borderId="1" xfId="1" applyFont="1" applyFill="1" applyBorder="1" applyAlignment="1">
      <alignment horizontal="center" vertical="center"/>
    </xf>
    <xf numFmtId="0" fontId="0" fillId="0" borderId="5" xfId="0" applyFont="1" applyBorder="1" applyAlignment="1">
      <alignment horizontal="right" vertical="top" wrapText="1"/>
    </xf>
    <xf numFmtId="1" fontId="0" fillId="2" borderId="29" xfId="0" applyNumberFormat="1" applyFill="1" applyBorder="1" applyAlignment="1">
      <alignment horizontal="center" vertical="center"/>
    </xf>
    <xf numFmtId="1" fontId="24" fillId="2" borderId="1" xfId="0" applyNumberFormat="1" applyFont="1" applyFill="1" applyBorder="1" applyAlignment="1">
      <alignment horizontal="center" vertical="center" wrapText="1"/>
    </xf>
    <xf numFmtId="0" fontId="0" fillId="0" borderId="1" xfId="0" applyBorder="1"/>
    <xf numFmtId="1" fontId="24" fillId="2" borderId="29" xfId="0" applyNumberFormat="1" applyFont="1" applyFill="1" applyBorder="1" applyAlignment="1">
      <alignment horizontal="center" vertical="center" wrapText="1"/>
    </xf>
    <xf numFmtId="1" fontId="0" fillId="2" borderId="1" xfId="0" applyNumberFormat="1" applyFont="1" applyFill="1" applyBorder="1" applyAlignment="1">
      <alignment horizontal="center" vertical="center" wrapText="1"/>
    </xf>
    <xf numFmtId="0" fontId="0" fillId="0" borderId="1" xfId="0" applyBorder="1" applyAlignment="1">
      <alignment wrapText="1"/>
    </xf>
    <xf numFmtId="2" fontId="35" fillId="0" borderId="0" xfId="0" applyNumberFormat="1" applyFont="1" applyFill="1" applyBorder="1" applyAlignment="1" applyProtection="1">
      <alignment horizontal="left" vertical="top" wrapText="1"/>
    </xf>
    <xf numFmtId="2" fontId="36" fillId="0" borderId="0" xfId="0" applyNumberFormat="1" applyFont="1" applyFill="1" applyBorder="1" applyAlignment="1" applyProtection="1">
      <alignment horizontal="left" vertical="top" wrapText="1"/>
    </xf>
    <xf numFmtId="2" fontId="36" fillId="0" borderId="0" xfId="0" applyNumberFormat="1" applyFont="1" applyFill="1" applyBorder="1" applyAlignment="1" applyProtection="1">
      <alignment horizontal="center" vertical="top" wrapText="1"/>
    </xf>
    <xf numFmtId="0" fontId="37" fillId="0" borderId="1" xfId="0" applyFont="1" applyBorder="1" applyAlignment="1">
      <alignment vertical="center" wrapText="1"/>
    </xf>
    <xf numFmtId="0" fontId="38" fillId="0" borderId="1" xfId="0" applyFont="1" applyBorder="1" applyAlignment="1">
      <alignment vertical="center" wrapText="1"/>
    </xf>
    <xf numFmtId="0" fontId="39" fillId="0" borderId="1" xfId="0" applyFont="1" applyBorder="1" applyAlignment="1">
      <alignment vertical="center" wrapText="1"/>
    </xf>
    <xf numFmtId="0" fontId="4" fillId="0" borderId="13" xfId="0" applyFont="1" applyBorder="1" applyAlignment="1">
      <alignment horizontal="center" wrapText="1"/>
    </xf>
    <xf numFmtId="0" fontId="17" fillId="0" borderId="11" xfId="0" applyFont="1" applyBorder="1" applyAlignment="1">
      <alignment vertical="center" wrapText="1"/>
    </xf>
    <xf numFmtId="0" fontId="0" fillId="11" borderId="1" xfId="0" applyFill="1" applyBorder="1"/>
    <xf numFmtId="0" fontId="3" fillId="0" borderId="11" xfId="0" applyFont="1" applyBorder="1" applyAlignment="1">
      <alignment horizontal="left" vertical="center" wrapText="1"/>
    </xf>
    <xf numFmtId="0" fontId="40"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0" fillId="0" borderId="0" xfId="0" applyBorder="1" applyAlignment="1">
      <alignment horizontal="left"/>
    </xf>
    <xf numFmtId="0" fontId="12" fillId="0" borderId="1" xfId="0" applyFont="1" applyBorder="1" applyAlignment="1">
      <alignment horizontal="center" vertical="center"/>
    </xf>
    <xf numFmtId="0" fontId="0" fillId="0" borderId="13" xfId="0" applyBorder="1" applyAlignment="1">
      <alignment horizontal="center" vertical="center" wrapText="1"/>
    </xf>
    <xf numFmtId="0" fontId="14" fillId="0" borderId="11" xfId="0" applyFont="1" applyBorder="1" applyAlignment="1">
      <alignment horizontal="center" vertical="center" wrapText="1"/>
    </xf>
    <xf numFmtId="9" fontId="11" fillId="0" borderId="29" xfId="1" applyFont="1" applyFill="1" applyBorder="1" applyAlignment="1">
      <alignment horizontal="center" vertical="center" wrapText="1"/>
    </xf>
    <xf numFmtId="9" fontId="11" fillId="0" borderId="1" xfId="1" applyFont="1" applyFill="1" applyBorder="1" applyAlignment="1">
      <alignment horizontal="center" vertical="center" wrapText="1"/>
    </xf>
    <xf numFmtId="0" fontId="18" fillId="0" borderId="13" xfId="0" applyFont="1" applyBorder="1" applyAlignment="1">
      <alignment horizontal="left" vertical="center" wrapText="1"/>
    </xf>
    <xf numFmtId="0" fontId="11" fillId="0" borderId="1" xfId="0" applyFont="1" applyBorder="1" applyAlignment="1">
      <alignment horizontal="center" vertical="center"/>
    </xf>
    <xf numFmtId="0" fontId="16" fillId="0" borderId="1" xfId="0" applyFont="1" applyBorder="1" applyAlignment="1">
      <alignment horizontal="center" vertical="center" wrapText="1"/>
    </xf>
    <xf numFmtId="0" fontId="19" fillId="0" borderId="13" xfId="0" applyFont="1" applyBorder="1" applyAlignment="1">
      <alignment horizontal="left" vertical="center"/>
    </xf>
    <xf numFmtId="0" fontId="19" fillId="0" borderId="1" xfId="0" applyFont="1" applyBorder="1" applyAlignment="1">
      <alignment horizontal="center" vertical="center"/>
    </xf>
    <xf numFmtId="0" fontId="17" fillId="0" borderId="1" xfId="0" applyFont="1" applyBorder="1" applyAlignment="1">
      <alignment horizontal="center" vertical="center" wrapText="1"/>
    </xf>
    <xf numFmtId="1" fontId="18" fillId="0" borderId="1" xfId="0" applyNumberFormat="1" applyFont="1" applyBorder="1" applyAlignment="1">
      <alignment horizontal="center" vertical="center"/>
    </xf>
    <xf numFmtId="1" fontId="17" fillId="0" borderId="1" xfId="0" applyNumberFormat="1" applyFont="1" applyFill="1" applyBorder="1" applyAlignment="1">
      <alignment horizontal="center" vertical="center"/>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1" fontId="22" fillId="0" borderId="36" xfId="0" applyNumberFormat="1" applyFont="1" applyBorder="1" applyAlignment="1">
      <alignment horizontal="center" vertical="center" wrapText="1"/>
    </xf>
    <xf numFmtId="0" fontId="12" fillId="0" borderId="14" xfId="0" applyFont="1" applyBorder="1" applyAlignment="1">
      <alignment horizontal="center" vertical="center"/>
    </xf>
    <xf numFmtId="0" fontId="0" fillId="0" borderId="9" xfId="0" applyBorder="1" applyAlignment="1">
      <alignment horizontal="center" vertical="center" wrapText="1"/>
    </xf>
    <xf numFmtId="0" fontId="19" fillId="0" borderId="13" xfId="0" applyFont="1" applyBorder="1" applyAlignment="1">
      <alignment horizontal="left" vertical="center" wrapText="1"/>
    </xf>
    <xf numFmtId="0" fontId="0" fillId="0" borderId="1" xfId="0" applyFont="1" applyBorder="1" applyAlignment="1">
      <alignment horizontal="center" vertical="center" wrapText="1"/>
    </xf>
    <xf numFmtId="0" fontId="19" fillId="0" borderId="1" xfId="0" applyFont="1" applyBorder="1" applyAlignment="1">
      <alignment vertical="center" wrapText="1"/>
    </xf>
    <xf numFmtId="0" fontId="10" fillId="5" borderId="13" xfId="0" applyFont="1" applyFill="1" applyBorder="1" applyAlignment="1">
      <alignment vertical="center" wrapText="1"/>
    </xf>
    <xf numFmtId="1" fontId="19" fillId="5" borderId="1" xfId="0" applyNumberFormat="1" applyFont="1" applyFill="1" applyBorder="1" applyAlignment="1">
      <alignment horizontal="center" vertical="center" wrapText="1"/>
    </xf>
    <xf numFmtId="1" fontId="19" fillId="8" borderId="1" xfId="0" applyNumberFormat="1" applyFont="1" applyFill="1" applyBorder="1" applyAlignment="1">
      <alignment horizontal="center" vertical="center" wrapText="1"/>
    </xf>
    <xf numFmtId="1" fontId="13" fillId="0" borderId="29" xfId="0" applyNumberFormat="1" applyFont="1" applyBorder="1" applyAlignment="1">
      <alignment horizontal="center" vertical="center" wrapText="1"/>
    </xf>
    <xf numFmtId="1" fontId="13" fillId="0" borderId="36" xfId="0" applyNumberFormat="1" applyFont="1" applyBorder="1" applyAlignment="1">
      <alignment horizontal="center" vertical="center"/>
    </xf>
    <xf numFmtId="9" fontId="0" fillId="2" borderId="1" xfId="1" applyFont="1" applyFill="1" applyBorder="1" applyAlignment="1">
      <alignment horizontal="center" vertical="center"/>
    </xf>
    <xf numFmtId="1" fontId="2" fillId="0" borderId="1" xfId="0" applyNumberFormat="1" applyFont="1" applyBorder="1" applyAlignment="1">
      <alignment horizontal="center" vertical="center"/>
    </xf>
    <xf numFmtId="0" fontId="0" fillId="0" borderId="1" xfId="0" applyBorder="1" applyAlignment="1">
      <alignment horizontal="center" vertical="top" wrapText="1"/>
    </xf>
    <xf numFmtId="1" fontId="17" fillId="0" borderId="1" xfId="0" applyNumberFormat="1" applyFont="1" applyFill="1" applyBorder="1" applyAlignment="1">
      <alignment horizontal="center" vertical="center" wrapText="1"/>
    </xf>
    <xf numFmtId="1" fontId="16" fillId="0" borderId="36"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9" xfId="0" applyFont="1" applyBorder="1" applyAlignment="1">
      <alignment horizontal="center" vertical="center" wrapText="1"/>
    </xf>
    <xf numFmtId="1" fontId="0" fillId="2" borderId="1" xfId="0" applyNumberFormat="1" applyFill="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42" fillId="0" borderId="11" xfId="0" applyFont="1" applyBorder="1" applyAlignment="1">
      <alignment vertical="center" wrapText="1"/>
    </xf>
    <xf numFmtId="0" fontId="42" fillId="0" borderId="33" xfId="0" applyFont="1" applyBorder="1" applyAlignment="1">
      <alignment vertical="center" wrapText="1"/>
    </xf>
    <xf numFmtId="0" fontId="10" fillId="5" borderId="5" xfId="0" applyFont="1" applyFill="1" applyBorder="1" applyAlignment="1">
      <alignment vertical="center" wrapText="1"/>
    </xf>
    <xf numFmtId="0" fontId="30" fillId="0" borderId="0" xfId="0" applyFont="1" applyFill="1" applyBorder="1" applyAlignment="1">
      <alignment horizontal="left" vertical="center"/>
    </xf>
    <xf numFmtId="0" fontId="4" fillId="0" borderId="0" xfId="0" applyFont="1" applyFill="1" applyBorder="1" applyAlignment="1">
      <alignment horizontal="left" vertical="center"/>
    </xf>
    <xf numFmtId="0" fontId="30" fillId="0" borderId="0" xfId="0" applyFont="1" applyFill="1" applyBorder="1" applyAlignment="1">
      <alignment horizontal="left" vertical="center" wrapText="1"/>
    </xf>
    <xf numFmtId="0" fontId="30" fillId="0" borderId="0" xfId="2" applyFont="1" applyFill="1" applyBorder="1" applyAlignment="1">
      <alignment horizontal="left" vertical="center" wrapText="1"/>
    </xf>
    <xf numFmtId="0" fontId="30" fillId="0" borderId="0" xfId="2" applyFont="1" applyFill="1" applyBorder="1" applyAlignment="1">
      <alignment horizontal="left" vertical="center"/>
    </xf>
    <xf numFmtId="0" fontId="44" fillId="0" borderId="0" xfId="3" applyFont="1" applyFill="1" applyBorder="1" applyAlignment="1" applyProtection="1">
      <alignment horizontal="left" vertical="center" wrapText="1"/>
      <protection hidden="1"/>
    </xf>
    <xf numFmtId="0" fontId="45" fillId="0" borderId="0" xfId="0" applyFont="1" applyFill="1" applyBorder="1" applyAlignment="1" applyProtection="1">
      <alignment horizontal="left" vertical="center" wrapText="1" shrinkToFit="1"/>
      <protection hidden="1"/>
    </xf>
    <xf numFmtId="0" fontId="45" fillId="0" borderId="0" xfId="2" applyFont="1" applyFill="1" applyBorder="1" applyAlignment="1">
      <alignment horizontal="left" vertical="center"/>
    </xf>
    <xf numFmtId="0" fontId="45" fillId="0" borderId="0" xfId="2" applyFont="1" applyFill="1" applyBorder="1" applyAlignment="1">
      <alignment horizontal="left" vertical="center" wrapText="1"/>
    </xf>
    <xf numFmtId="0" fontId="46" fillId="0" borderId="0" xfId="2" applyFont="1" applyFill="1" applyBorder="1" applyAlignment="1">
      <alignment horizontal="left" vertical="center" wrapText="1"/>
    </xf>
    <xf numFmtId="0" fontId="45" fillId="0" borderId="0" xfId="0" applyFont="1" applyFill="1" applyBorder="1" applyAlignment="1" applyProtection="1">
      <alignment horizontal="left" vertical="center" wrapText="1"/>
      <protection hidden="1"/>
    </xf>
    <xf numFmtId="0" fontId="4" fillId="0" borderId="0" xfId="0" applyFont="1" applyFill="1" applyBorder="1" applyAlignment="1">
      <alignment horizontal="left" vertical="center" wrapText="1"/>
    </xf>
    <xf numFmtId="0" fontId="30" fillId="0" borderId="0" xfId="0" applyFont="1" applyFill="1" applyBorder="1" applyAlignment="1">
      <alignment horizontal="center" vertical="center" wrapText="1"/>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Fill="1" applyBorder="1" applyAlignment="1">
      <alignment horizontal="left"/>
    </xf>
    <xf numFmtId="0" fontId="8" fillId="0" borderId="0" xfId="0" applyFont="1" applyFill="1"/>
    <xf numFmtId="0" fontId="8" fillId="0" borderId="0" xfId="0" applyFont="1" applyFill="1" applyAlignment="1">
      <alignment horizontal="center"/>
    </xf>
    <xf numFmtId="0" fontId="2" fillId="0" borderId="0" xfId="0" applyFont="1" applyFill="1"/>
    <xf numFmtId="0" fontId="2" fillId="0" borderId="0" xfId="0" applyFont="1" applyFill="1" applyAlignment="1">
      <alignment horizontal="center" vertical="center"/>
    </xf>
    <xf numFmtId="0" fontId="0" fillId="0" borderId="5" xfId="0" applyBorder="1"/>
    <xf numFmtId="0" fontId="0" fillId="0" borderId="8" xfId="0" applyBorder="1"/>
    <xf numFmtId="0" fontId="0" fillId="0" borderId="13" xfId="0" applyBorder="1"/>
    <xf numFmtId="0" fontId="0" fillId="0" borderId="15" xfId="0" applyBorder="1"/>
    <xf numFmtId="0" fontId="0" fillId="0" borderId="23" xfId="0" applyBorder="1"/>
    <xf numFmtId="9" fontId="11" fillId="11" borderId="1" xfId="1" applyFont="1" applyFill="1" applyBorder="1" applyAlignment="1">
      <alignment horizontal="center" vertical="center"/>
    </xf>
    <xf numFmtId="0" fontId="11" fillId="0" borderId="1" xfId="0" applyFont="1" applyFill="1" applyBorder="1" applyAlignment="1">
      <alignment horizontal="center" vertical="center"/>
    </xf>
    <xf numFmtId="0" fontId="14" fillId="7" borderId="1" xfId="0" applyFont="1" applyFill="1" applyBorder="1" applyAlignment="1">
      <alignment horizontal="center" vertical="center"/>
    </xf>
    <xf numFmtId="9" fontId="11" fillId="7" borderId="1" xfId="1" applyFont="1" applyFill="1" applyBorder="1" applyAlignment="1">
      <alignment horizontal="center" vertical="center"/>
    </xf>
    <xf numFmtId="0" fontId="11" fillId="7" borderId="1" xfId="0" applyFont="1" applyFill="1" applyBorder="1" applyAlignment="1">
      <alignment horizontal="center" vertical="center"/>
    </xf>
    <xf numFmtId="1" fontId="13" fillId="7" borderId="36" xfId="0" applyNumberFormat="1" applyFont="1" applyFill="1" applyBorder="1" applyAlignment="1">
      <alignment horizontal="center" vertical="center"/>
    </xf>
    <xf numFmtId="0" fontId="2" fillId="7" borderId="36" xfId="0" applyFont="1" applyFill="1" applyBorder="1" applyAlignment="1">
      <alignment horizontal="center" vertical="center" wrapText="1"/>
    </xf>
    <xf numFmtId="9" fontId="2" fillId="7" borderId="36" xfId="1" applyFont="1" applyFill="1" applyBorder="1" applyAlignment="1">
      <alignment horizontal="center" vertical="center"/>
    </xf>
    <xf numFmtId="1" fontId="2" fillId="7" borderId="37"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9" fontId="2" fillId="0" borderId="1" xfId="1" applyFont="1" applyFill="1" applyBorder="1" applyAlignment="1">
      <alignment horizontal="center" vertical="center"/>
    </xf>
    <xf numFmtId="1" fontId="13" fillId="0" borderId="29" xfId="0" applyNumberFormat="1" applyFont="1" applyBorder="1" applyAlignment="1">
      <alignment horizontal="center" vertical="center"/>
    </xf>
    <xf numFmtId="0" fontId="0" fillId="0" borderId="29" xfId="0" applyFont="1" applyFill="1" applyBorder="1" applyAlignment="1">
      <alignment horizontal="center" vertical="center" wrapText="1"/>
    </xf>
    <xf numFmtId="9" fontId="2" fillId="0" borderId="29" xfId="1" applyFont="1" applyFill="1" applyBorder="1" applyAlignment="1">
      <alignment horizontal="center" vertical="center"/>
    </xf>
    <xf numFmtId="0" fontId="2" fillId="7" borderId="37" xfId="0" applyFont="1" applyFill="1" applyBorder="1" applyAlignment="1">
      <alignment horizontal="center" vertical="center" wrapText="1"/>
    </xf>
    <xf numFmtId="0" fontId="2" fillId="0" borderId="9" xfId="0" applyFont="1" applyBorder="1" applyAlignment="1">
      <alignment horizontal="center" vertical="center"/>
    </xf>
    <xf numFmtId="1" fontId="0" fillId="0" borderId="1" xfId="0" applyNumberFormat="1" applyFont="1" applyFill="1" applyBorder="1" applyAlignment="1">
      <alignment horizontal="center" vertical="center" wrapText="1"/>
    </xf>
    <xf numFmtId="0" fontId="11" fillId="0" borderId="23" xfId="0" applyFont="1" applyFill="1" applyBorder="1" applyAlignment="1">
      <alignment horizontal="left"/>
    </xf>
    <xf numFmtId="9" fontId="11" fillId="11" borderId="1" xfId="1" applyFont="1" applyFill="1" applyBorder="1" applyAlignment="1">
      <alignment horizontal="center" vertical="center" wrapText="1"/>
    </xf>
    <xf numFmtId="0" fontId="2" fillId="0" borderId="23" xfId="0" applyFont="1" applyBorder="1"/>
    <xf numFmtId="0" fontId="5" fillId="0" borderId="0" xfId="0" applyFont="1" applyBorder="1" applyAlignment="1">
      <alignment horizontal="center"/>
    </xf>
    <xf numFmtId="0" fontId="12" fillId="0" borderId="0" xfId="0" applyFont="1" applyBorder="1" applyAlignment="1">
      <alignment horizontal="right"/>
    </xf>
    <xf numFmtId="1" fontId="10" fillId="0" borderId="23" xfId="0" applyNumberFormat="1" applyFont="1" applyFill="1" applyBorder="1" applyAlignment="1">
      <alignment horizontal="center" vertical="center"/>
    </xf>
    <xf numFmtId="9" fontId="10" fillId="11" borderId="1" xfId="1" applyFont="1" applyFill="1" applyBorder="1" applyAlignment="1">
      <alignment horizontal="center" vertical="center"/>
    </xf>
    <xf numFmtId="1" fontId="10" fillId="0" borderId="1" xfId="0" applyNumberFormat="1" applyFont="1" applyBorder="1" applyAlignment="1">
      <alignment horizontal="center" vertical="center"/>
    </xf>
    <xf numFmtId="0" fontId="19" fillId="0" borderId="39" xfId="0" applyFont="1" applyBorder="1"/>
    <xf numFmtId="9" fontId="10" fillId="0" borderId="29" xfId="1" applyFont="1" applyFill="1" applyBorder="1" applyAlignment="1">
      <alignment horizontal="center" vertical="center"/>
    </xf>
    <xf numFmtId="1" fontId="10" fillId="0" borderId="29" xfId="0" applyNumberFormat="1" applyFont="1" applyBorder="1" applyAlignment="1">
      <alignment horizontal="center"/>
    </xf>
    <xf numFmtId="0" fontId="10" fillId="0" borderId="48" xfId="0" applyFont="1" applyBorder="1"/>
    <xf numFmtId="1" fontId="10" fillId="0" borderId="36" xfId="0" applyNumberFormat="1" applyFont="1" applyFill="1" applyBorder="1" applyAlignment="1">
      <alignment horizontal="center" vertical="center"/>
    </xf>
    <xf numFmtId="9" fontId="10" fillId="0" borderId="36" xfId="1" applyFont="1" applyFill="1" applyBorder="1" applyAlignment="1">
      <alignment horizontal="center" vertical="center"/>
    </xf>
    <xf numFmtId="1" fontId="10" fillId="0" borderId="37" xfId="0" applyNumberFormat="1" applyFont="1" applyFill="1" applyBorder="1" applyAlignment="1">
      <alignment horizontal="center" vertical="center"/>
    </xf>
    <xf numFmtId="0" fontId="18" fillId="0" borderId="5" xfId="0" applyFont="1" applyBorder="1"/>
    <xf numFmtId="0" fontId="17" fillId="0" borderId="9" xfId="0" applyFont="1" applyBorder="1" applyAlignment="1">
      <alignment horizontal="center" vertical="center" wrapText="1"/>
    </xf>
    <xf numFmtId="9" fontId="18" fillId="11" borderId="1" xfId="1" applyFont="1" applyFill="1" applyBorder="1" applyAlignment="1">
      <alignment horizontal="center" vertical="center"/>
    </xf>
    <xf numFmtId="1" fontId="10" fillId="7" borderId="57" xfId="0" applyNumberFormat="1" applyFont="1" applyFill="1" applyBorder="1" applyAlignment="1">
      <alignment horizontal="center" vertical="center"/>
    </xf>
    <xf numFmtId="1" fontId="17" fillId="7" borderId="57" xfId="0" applyNumberFormat="1" applyFont="1" applyFill="1" applyBorder="1" applyAlignment="1">
      <alignment horizontal="center" vertical="center"/>
    </xf>
    <xf numFmtId="9" fontId="16" fillId="7" borderId="1" xfId="1" applyFont="1" applyFill="1" applyBorder="1" applyAlignment="1">
      <alignment horizontal="center" vertical="center"/>
    </xf>
    <xf numFmtId="1" fontId="16" fillId="7" borderId="1" xfId="0" applyNumberFormat="1" applyFont="1" applyFill="1" applyBorder="1" applyAlignment="1">
      <alignment horizontal="center" vertical="center"/>
    </xf>
    <xf numFmtId="1" fontId="19" fillId="0" borderId="1" xfId="0" applyNumberFormat="1" applyFont="1" applyFill="1" applyBorder="1" applyAlignment="1">
      <alignment horizontal="center" vertical="center"/>
    </xf>
    <xf numFmtId="1" fontId="19" fillId="0" borderId="29" xfId="0" applyNumberFormat="1" applyFont="1" applyFill="1" applyBorder="1" applyAlignment="1">
      <alignment horizontal="center" vertical="center"/>
    </xf>
    <xf numFmtId="0" fontId="5" fillId="7" borderId="29" xfId="0" applyFont="1" applyFill="1" applyBorder="1" applyAlignment="1">
      <alignment vertical="center"/>
    </xf>
    <xf numFmtId="0" fontId="21" fillId="7" borderId="29" xfId="0" applyFont="1" applyFill="1" applyBorder="1" applyAlignment="1">
      <alignment horizontal="center" vertical="center"/>
    </xf>
    <xf numFmtId="9" fontId="5" fillId="7" borderId="29" xfId="1" applyFont="1" applyFill="1" applyBorder="1" applyAlignment="1">
      <alignment horizontal="center" vertical="center"/>
    </xf>
    <xf numFmtId="1" fontId="21" fillId="0" borderId="36" xfId="0" applyNumberFormat="1" applyFont="1" applyFill="1" applyBorder="1" applyAlignment="1">
      <alignment horizontal="center" vertical="center"/>
    </xf>
    <xf numFmtId="9" fontId="18" fillId="0" borderId="36" xfId="1" applyFont="1" applyFill="1" applyBorder="1" applyAlignment="1">
      <alignment horizontal="center" vertical="center"/>
    </xf>
    <xf numFmtId="1" fontId="18" fillId="0" borderId="37" xfId="0" applyNumberFormat="1" applyFont="1" applyBorder="1" applyAlignment="1">
      <alignment horizontal="center" vertical="center"/>
    </xf>
    <xf numFmtId="0" fontId="5" fillId="0" borderId="0" xfId="0" applyFont="1" applyFill="1" applyBorder="1" applyAlignment="1">
      <alignment horizontal="center" vertical="center"/>
    </xf>
    <xf numFmtId="0" fontId="0" fillId="0" borderId="13" xfId="0" applyFill="1" applyBorder="1"/>
    <xf numFmtId="0" fontId="12" fillId="0" borderId="1" xfId="0" applyFont="1" applyBorder="1" applyAlignment="1">
      <alignment vertical="center"/>
    </xf>
    <xf numFmtId="0" fontId="7" fillId="0" borderId="13" xfId="0" applyFont="1" applyFill="1" applyBorder="1"/>
    <xf numFmtId="1" fontId="22" fillId="0" borderId="1" xfId="0" applyNumberFormat="1" applyFont="1" applyBorder="1" applyAlignment="1">
      <alignment horizontal="center" vertical="center"/>
    </xf>
    <xf numFmtId="0" fontId="7" fillId="0" borderId="39" xfId="0" applyFont="1" applyFill="1" applyBorder="1"/>
    <xf numFmtId="1" fontId="22" fillId="0" borderId="29" xfId="0" applyNumberFormat="1" applyFont="1" applyBorder="1" applyAlignment="1">
      <alignment horizontal="center" vertical="center"/>
    </xf>
    <xf numFmtId="0" fontId="7" fillId="0" borderId="48" xfId="0" applyFont="1" applyFill="1" applyBorder="1"/>
    <xf numFmtId="9" fontId="7" fillId="0" borderId="36" xfId="1" applyFont="1" applyFill="1" applyBorder="1" applyAlignment="1">
      <alignment horizontal="center" vertical="center"/>
    </xf>
    <xf numFmtId="0" fontId="0" fillId="0" borderId="5" xfId="0" applyBorder="1" applyAlignment="1">
      <alignment horizontal="center"/>
    </xf>
    <xf numFmtId="0" fontId="13" fillId="0" borderId="50" xfId="0" applyFont="1" applyBorder="1" applyAlignment="1">
      <alignment horizontal="center" vertical="center" wrapText="1"/>
    </xf>
    <xf numFmtId="9" fontId="0" fillId="11" borderId="1" xfId="1" applyFont="1" applyFill="1" applyBorder="1" applyAlignment="1">
      <alignment horizontal="center" vertical="center"/>
    </xf>
    <xf numFmtId="9" fontId="0" fillId="0" borderId="1" xfId="1" applyFont="1" applyFill="1" applyBorder="1" applyAlignment="1">
      <alignment horizontal="center" vertical="center"/>
    </xf>
    <xf numFmtId="0" fontId="0" fillId="0" borderId="39" xfId="0" applyBorder="1"/>
    <xf numFmtId="0" fontId="0" fillId="7" borderId="39" xfId="0" applyFill="1" applyBorder="1"/>
    <xf numFmtId="1" fontId="0" fillId="7" borderId="29" xfId="0" applyNumberFormat="1" applyFill="1" applyBorder="1" applyAlignment="1">
      <alignment horizontal="center" vertical="center"/>
    </xf>
    <xf numFmtId="1" fontId="13" fillId="7" borderId="29" xfId="0" applyNumberFormat="1" applyFont="1" applyFill="1" applyBorder="1" applyAlignment="1">
      <alignment horizontal="center" vertical="center"/>
    </xf>
    <xf numFmtId="9" fontId="0" fillId="7" borderId="31" xfId="1" applyFont="1" applyFill="1" applyBorder="1" applyAlignment="1">
      <alignment horizontal="center" vertical="center"/>
    </xf>
    <xf numFmtId="9" fontId="0" fillId="7" borderId="29" xfId="1" applyFont="1" applyFill="1" applyBorder="1" applyAlignment="1">
      <alignment horizontal="center" vertical="center"/>
    </xf>
    <xf numFmtId="1" fontId="0" fillId="7" borderId="14" xfId="0" applyNumberFormat="1" applyFill="1" applyBorder="1" applyAlignment="1">
      <alignment horizontal="center" vertical="center"/>
    </xf>
    <xf numFmtId="0" fontId="0" fillId="0" borderId="39" xfId="0" applyBorder="1" applyAlignment="1">
      <alignment horizontal="right"/>
    </xf>
    <xf numFmtId="0" fontId="0" fillId="0" borderId="23" xfId="0" applyBorder="1" applyAlignment="1">
      <alignment horizontal="center"/>
    </xf>
    <xf numFmtId="0" fontId="0" fillId="7" borderId="1" xfId="0" applyFill="1" applyBorder="1"/>
    <xf numFmtId="1" fontId="0" fillId="7" borderId="1" xfId="0" applyNumberFormat="1" applyFill="1" applyBorder="1" applyAlignment="1">
      <alignment horizontal="center" vertical="center"/>
    </xf>
    <xf numFmtId="1" fontId="13" fillId="7" borderId="1" xfId="0" applyNumberFormat="1" applyFont="1" applyFill="1" applyBorder="1" applyAlignment="1">
      <alignment horizontal="center" vertical="center" wrapText="1"/>
    </xf>
    <xf numFmtId="1" fontId="11" fillId="7" borderId="29" xfId="0" applyNumberFormat="1" applyFont="1" applyFill="1" applyBorder="1" applyAlignment="1">
      <alignment horizontal="center" vertical="center" wrapText="1"/>
    </xf>
    <xf numFmtId="0" fontId="0" fillId="0" borderId="1" xfId="0" applyBorder="1" applyAlignment="1">
      <alignment horizontal="left" indent="5"/>
    </xf>
    <xf numFmtId="0" fontId="0" fillId="0" borderId="29" xfId="0" applyBorder="1" applyAlignment="1">
      <alignment horizontal="left" indent="5"/>
    </xf>
    <xf numFmtId="0" fontId="25" fillId="0" borderId="23" xfId="0" applyFont="1" applyBorder="1" applyAlignment="1">
      <alignment vertical="center"/>
    </xf>
    <xf numFmtId="9" fontId="12" fillId="0" borderId="1" xfId="1" applyFont="1" applyFill="1" applyBorder="1" applyAlignment="1">
      <alignment horizontal="center" vertical="center"/>
    </xf>
    <xf numFmtId="9" fontId="12" fillId="11" borderId="1" xfId="1" applyFont="1" applyFill="1" applyBorder="1" applyAlignment="1">
      <alignment horizontal="center" vertical="center"/>
    </xf>
    <xf numFmtId="9" fontId="27" fillId="0" borderId="1" xfId="1" applyFont="1" applyFill="1" applyBorder="1" applyAlignment="1">
      <alignment horizontal="center" vertical="center" wrapText="1"/>
    </xf>
    <xf numFmtId="9" fontId="27" fillId="0" borderId="29" xfId="1" applyFont="1" applyFill="1" applyBorder="1" applyAlignment="1">
      <alignment horizontal="center" vertical="center" wrapText="1"/>
    </xf>
    <xf numFmtId="0" fontId="28" fillId="0" borderId="0" xfId="0" applyFont="1" applyAlignment="1">
      <alignment horizontal="left" vertical="center" indent="5"/>
    </xf>
    <xf numFmtId="0" fontId="25" fillId="0" borderId="0" xfId="0" applyFont="1" applyAlignment="1">
      <alignment vertical="center"/>
    </xf>
    <xf numFmtId="0" fontId="10" fillId="5" borderId="20" xfId="0" applyFont="1" applyFill="1" applyBorder="1" applyAlignment="1">
      <alignment horizontal="center" vertical="center" wrapText="1"/>
    </xf>
    <xf numFmtId="0" fontId="2" fillId="0" borderId="0" xfId="0" applyFont="1" applyAlignment="1"/>
    <xf numFmtId="0" fontId="2" fillId="0" borderId="0" xfId="0" applyFont="1" applyBorder="1" applyAlignment="1"/>
    <xf numFmtId="9" fontId="0" fillId="0" borderId="1" xfId="1" applyFont="1" applyBorder="1" applyAlignment="1">
      <alignment horizontal="center" vertical="center"/>
    </xf>
    <xf numFmtId="0" fontId="0" fillId="0" borderId="23" xfId="0" applyFill="1" applyBorder="1"/>
    <xf numFmtId="0" fontId="30" fillId="0" borderId="13" xfId="0" applyFont="1" applyFill="1" applyBorder="1"/>
    <xf numFmtId="0" fontId="30" fillId="0" borderId="13" xfId="0" applyFont="1" applyFill="1" applyBorder="1" applyAlignment="1">
      <alignment horizontal="left" vertical="center"/>
    </xf>
    <xf numFmtId="0" fontId="18" fillId="0" borderId="13" xfId="0" applyFont="1" applyFill="1" applyBorder="1" applyAlignment="1">
      <alignment vertical="center" wrapText="1"/>
    </xf>
    <xf numFmtId="0" fontId="2" fillId="0" borderId="48" xfId="0" applyFont="1" applyBorder="1" applyAlignment="1">
      <alignment horizontal="right"/>
    </xf>
    <xf numFmtId="0" fontId="0" fillId="0" borderId="13" xfId="0" applyFill="1" applyBorder="1" applyAlignment="1">
      <alignment horizontal="left" vertical="center" wrapText="1"/>
    </xf>
    <xf numFmtId="0" fontId="0" fillId="0" borderId="39" xfId="0" applyFill="1" applyBorder="1" applyAlignment="1">
      <alignment horizontal="left"/>
    </xf>
    <xf numFmtId="9" fontId="11" fillId="0" borderId="29" xfId="1" applyFont="1" applyFill="1" applyBorder="1" applyAlignment="1">
      <alignment horizontal="center" vertical="center"/>
    </xf>
    <xf numFmtId="0" fontId="2" fillId="0" borderId="48" xfId="0" applyFont="1" applyFill="1" applyBorder="1"/>
    <xf numFmtId="9" fontId="11" fillId="0" borderId="36" xfId="1" applyFont="1" applyFill="1" applyBorder="1" applyAlignment="1">
      <alignment horizontal="center" vertical="center"/>
    </xf>
    <xf numFmtId="1" fontId="11" fillId="0" borderId="48" xfId="0" applyNumberFormat="1" applyFont="1" applyBorder="1" applyAlignment="1">
      <alignment vertical="center"/>
    </xf>
    <xf numFmtId="0" fontId="12" fillId="0" borderId="13" xfId="0" applyFont="1" applyBorder="1" applyAlignment="1">
      <alignment horizontal="left" vertical="center" wrapText="1" indent="5"/>
    </xf>
    <xf numFmtId="0" fontId="0" fillId="0" borderId="39" xfId="0" applyBorder="1" applyAlignment="1">
      <alignment horizontal="left" indent="5"/>
    </xf>
    <xf numFmtId="0" fontId="41" fillId="0" borderId="23" xfId="0" applyFont="1" applyBorder="1" applyAlignment="1">
      <alignment horizontal="center"/>
    </xf>
    <xf numFmtId="0" fontId="0" fillId="0" borderId="13" xfId="0" applyBorder="1" applyAlignment="1">
      <alignment horizontal="center" vertical="center"/>
    </xf>
    <xf numFmtId="0" fontId="0" fillId="0" borderId="0" xfId="0" applyAlignment="1">
      <alignment horizontal="center" vertical="center"/>
    </xf>
    <xf numFmtId="0" fontId="12" fillId="0" borderId="23" xfId="0" applyFont="1" applyBorder="1" applyAlignment="1">
      <alignment horizontal="center" vertical="center"/>
    </xf>
    <xf numFmtId="0" fontId="30" fillId="0" borderId="23" xfId="0" applyFont="1" applyBorder="1"/>
    <xf numFmtId="0" fontId="4" fillId="0" borderId="13" xfId="0" applyFont="1" applyBorder="1" applyAlignment="1">
      <alignment horizontal="center"/>
    </xf>
    <xf numFmtId="0" fontId="4" fillId="0" borderId="39" xfId="0" applyFont="1" applyBorder="1" applyAlignment="1">
      <alignment horizontal="center"/>
    </xf>
    <xf numFmtId="0" fontId="4" fillId="0" borderId="48" xfId="0" applyFont="1" applyBorder="1" applyAlignment="1">
      <alignment horizontal="center"/>
    </xf>
    <xf numFmtId="1" fontId="3" fillId="0" borderId="36" xfId="0" applyNumberFormat="1" applyFont="1" applyBorder="1" applyAlignment="1">
      <alignment horizontal="center" vertical="center" wrapText="1"/>
    </xf>
    <xf numFmtId="0" fontId="4" fillId="0" borderId="60" xfId="0" applyFont="1" applyFill="1" applyBorder="1" applyAlignment="1">
      <alignment horizontal="center"/>
    </xf>
    <xf numFmtId="0" fontId="5" fillId="6" borderId="0" xfId="0" applyFont="1" applyFill="1" applyBorder="1" applyAlignment="1">
      <alignment horizontal="center" vertical="center"/>
    </xf>
    <xf numFmtId="0" fontId="2" fillId="0" borderId="0" xfId="0" applyFont="1"/>
    <xf numFmtId="1" fontId="2" fillId="0" borderId="67" xfId="0" applyNumberFormat="1" applyFont="1" applyBorder="1" applyAlignment="1">
      <alignment horizontal="center" vertical="center"/>
    </xf>
    <xf numFmtId="0" fontId="20" fillId="0" borderId="70" xfId="0" applyFont="1" applyBorder="1" applyAlignment="1">
      <alignment vertical="center" wrapText="1"/>
    </xf>
    <xf numFmtId="0" fontId="20" fillId="0" borderId="71" xfId="0" applyFont="1" applyBorder="1" applyAlignment="1">
      <alignment vertical="center" wrapText="1"/>
    </xf>
    <xf numFmtId="0" fontId="37" fillId="0" borderId="71" xfId="0" applyFont="1" applyBorder="1" applyAlignment="1">
      <alignment vertical="center" wrapText="1"/>
    </xf>
    <xf numFmtId="0" fontId="0" fillId="0" borderId="11" xfId="0" applyFill="1" applyBorder="1" applyAlignment="1">
      <alignment vertical="center" wrapText="1"/>
    </xf>
    <xf numFmtId="0" fontId="0" fillId="0" borderId="6" xfId="0" applyFill="1" applyBorder="1" applyAlignment="1">
      <alignment vertical="center" wrapText="1"/>
    </xf>
    <xf numFmtId="0" fontId="0" fillId="0" borderId="1" xfId="0" applyFill="1" applyBorder="1" applyAlignment="1">
      <alignment vertical="center" wrapText="1"/>
    </xf>
    <xf numFmtId="0" fontId="18" fillId="0" borderId="11" xfId="0" applyFont="1" applyBorder="1" applyAlignment="1">
      <alignment vertical="center" wrapText="1"/>
    </xf>
    <xf numFmtId="1" fontId="3" fillId="0" borderId="40" xfId="0" applyNumberFormat="1" applyFont="1" applyBorder="1" applyAlignment="1">
      <alignment vertical="center"/>
    </xf>
    <xf numFmtId="0" fontId="48" fillId="0" borderId="1" xfId="0" applyFont="1" applyFill="1" applyBorder="1" applyAlignment="1">
      <alignment wrapText="1"/>
    </xf>
    <xf numFmtId="0" fontId="24" fillId="0" borderId="1" xfId="0" applyFont="1" applyBorder="1" applyAlignment="1">
      <alignment vertical="center" wrapText="1"/>
    </xf>
    <xf numFmtId="0" fontId="49" fillId="0" borderId="0" xfId="0" applyFont="1" applyFill="1"/>
    <xf numFmtId="0" fontId="0" fillId="10" borderId="11" xfId="0" applyFont="1" applyFill="1" applyBorder="1" applyAlignment="1">
      <alignment horizontal="center" vertical="center" wrapText="1"/>
    </xf>
    <xf numFmtId="0" fontId="6" fillId="2" borderId="1"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0" fillId="2" borderId="1" xfId="0" applyFill="1" applyBorder="1" applyAlignment="1" applyProtection="1">
      <alignment horizontal="center"/>
      <protection locked="0"/>
    </xf>
    <xf numFmtId="1" fontId="13" fillId="2" borderId="1" xfId="0" applyNumberFormat="1" applyFont="1" applyFill="1" applyBorder="1" applyAlignment="1" applyProtection="1">
      <alignment horizontal="center" vertical="center"/>
      <protection locked="0"/>
    </xf>
    <xf numFmtId="0" fontId="0" fillId="2" borderId="1" xfId="0" applyFont="1" applyFill="1" applyBorder="1" applyAlignment="1" applyProtection="1">
      <alignment horizontal="center" vertical="center" wrapText="1"/>
      <protection locked="0"/>
    </xf>
    <xf numFmtId="0" fontId="0" fillId="2" borderId="11" xfId="0" applyFont="1" applyFill="1" applyBorder="1" applyAlignment="1" applyProtection="1">
      <alignment horizontal="center" vertical="center" wrapText="1"/>
      <protection locked="0"/>
    </xf>
    <xf numFmtId="1" fontId="13" fillId="2" borderId="29" xfId="0" applyNumberFormat="1" applyFont="1" applyFill="1" applyBorder="1" applyAlignment="1" applyProtection="1">
      <alignment horizontal="center" vertical="center"/>
      <protection locked="0"/>
    </xf>
    <xf numFmtId="0" fontId="0" fillId="2" borderId="29" xfId="0" applyFont="1" applyFill="1" applyBorder="1" applyAlignment="1" applyProtection="1">
      <alignment horizontal="center" vertical="center" wrapText="1"/>
      <protection locked="0"/>
    </xf>
    <xf numFmtId="0" fontId="0" fillId="2" borderId="33" xfId="0" applyFont="1" applyFill="1" applyBorder="1" applyAlignment="1" applyProtection="1">
      <alignment horizontal="center" vertical="center" wrapText="1"/>
      <protection locked="0"/>
    </xf>
    <xf numFmtId="0" fontId="2" fillId="2" borderId="29" xfId="0" applyFont="1" applyFill="1" applyBorder="1" applyAlignment="1" applyProtection="1">
      <alignment horizontal="center" vertical="center"/>
      <protection locked="0"/>
    </xf>
    <xf numFmtId="0" fontId="13" fillId="2" borderId="9" xfId="0" applyFont="1" applyFill="1" applyBorder="1" applyAlignment="1" applyProtection="1">
      <alignment horizontal="center" vertical="center"/>
      <protection locked="0"/>
    </xf>
    <xf numFmtId="0" fontId="0" fillId="2" borderId="38" xfId="0" applyFont="1" applyFill="1" applyBorder="1" applyAlignment="1" applyProtection="1">
      <alignment horizontal="center" vertical="center" wrapText="1"/>
      <protection locked="0"/>
    </xf>
    <xf numFmtId="0" fontId="14" fillId="2" borderId="9" xfId="0" applyFont="1" applyFill="1" applyBorder="1" applyAlignment="1" applyProtection="1">
      <alignment horizontal="center" vertical="center"/>
      <protection locked="0"/>
    </xf>
    <xf numFmtId="0" fontId="14" fillId="2" borderId="1"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13" fillId="2" borderId="29" xfId="0" applyFont="1" applyFill="1" applyBorder="1" applyAlignment="1" applyProtection="1">
      <alignment horizontal="center" vertical="center"/>
      <protection locked="0"/>
    </xf>
    <xf numFmtId="0" fontId="14" fillId="2" borderId="29" xfId="0" applyFont="1" applyFill="1" applyBorder="1" applyAlignment="1" applyProtection="1">
      <alignment horizontal="center" vertical="center"/>
      <protection locked="0"/>
    </xf>
    <xf numFmtId="1" fontId="11" fillId="0" borderId="36" xfId="0" applyNumberFormat="1" applyFont="1" applyBorder="1" applyAlignment="1">
      <alignment horizontal="center" vertical="center"/>
    </xf>
    <xf numFmtId="0" fontId="17" fillId="2" borderId="1" xfId="0" applyFont="1" applyFill="1" applyBorder="1" applyAlignment="1" applyProtection="1">
      <alignment vertical="center" wrapText="1"/>
      <protection locked="0"/>
    </xf>
    <xf numFmtId="1" fontId="18" fillId="2" borderId="1" xfId="0" applyNumberFormat="1" applyFont="1" applyFill="1" applyBorder="1" applyAlignment="1" applyProtection="1">
      <alignment horizontal="center" vertical="center"/>
      <protection locked="0"/>
    </xf>
    <xf numFmtId="1" fontId="18" fillId="2" borderId="29" xfId="0" applyNumberFormat="1" applyFont="1" applyFill="1" applyBorder="1" applyAlignment="1" applyProtection="1">
      <alignment horizontal="center" vertical="center"/>
      <protection locked="0"/>
    </xf>
    <xf numFmtId="0" fontId="11" fillId="10" borderId="12" xfId="0" applyFont="1" applyFill="1" applyBorder="1" applyAlignment="1">
      <alignment vertical="center" wrapText="1"/>
    </xf>
    <xf numFmtId="1" fontId="19" fillId="11" borderId="1" xfId="0" applyNumberFormat="1" applyFont="1" applyFill="1" applyBorder="1" applyAlignment="1" applyProtection="1">
      <alignment horizontal="center" vertical="center"/>
      <protection locked="0"/>
    </xf>
    <xf numFmtId="1" fontId="19" fillId="2" borderId="1" xfId="0" applyNumberFormat="1" applyFont="1" applyFill="1" applyBorder="1" applyAlignment="1" applyProtection="1">
      <alignment horizontal="center" vertical="center"/>
      <protection locked="0"/>
    </xf>
    <xf numFmtId="1" fontId="19" fillId="2" borderId="29" xfId="0" applyNumberFormat="1" applyFont="1" applyFill="1" applyBorder="1" applyAlignment="1" applyProtection="1">
      <alignment horizontal="center" vertical="center"/>
      <protection locked="0"/>
    </xf>
    <xf numFmtId="9" fontId="18" fillId="2" borderId="1" xfId="1" applyFont="1" applyFill="1" applyBorder="1" applyAlignment="1" applyProtection="1">
      <alignment horizontal="center" vertical="center"/>
      <protection locked="0"/>
    </xf>
    <xf numFmtId="9" fontId="18" fillId="2" borderId="29" xfId="1" applyFont="1" applyFill="1" applyBorder="1" applyAlignment="1" applyProtection="1">
      <alignment horizontal="center" vertical="center"/>
      <protection locked="0"/>
    </xf>
    <xf numFmtId="0" fontId="7" fillId="2" borderId="1" xfId="0" applyFont="1" applyFill="1" applyBorder="1" applyProtection="1">
      <protection locked="0"/>
    </xf>
    <xf numFmtId="1" fontId="3" fillId="2" borderId="1" xfId="0" applyNumberFormat="1" applyFont="1" applyFill="1" applyBorder="1" applyAlignment="1" applyProtection="1">
      <alignment vertical="center"/>
      <protection locked="0"/>
    </xf>
    <xf numFmtId="1" fontId="3" fillId="2" borderId="11" xfId="0" applyNumberFormat="1" applyFont="1" applyFill="1" applyBorder="1" applyAlignment="1" applyProtection="1">
      <alignment vertical="center"/>
      <protection locked="0"/>
    </xf>
    <xf numFmtId="9" fontId="7" fillId="2" borderId="1" xfId="1" applyFont="1" applyFill="1" applyBorder="1" applyAlignment="1" applyProtection="1">
      <alignment horizontal="center" vertical="center"/>
      <protection locked="0"/>
    </xf>
    <xf numFmtId="1" fontId="7" fillId="2" borderId="1" xfId="0" applyNumberFormat="1" applyFont="1" applyFill="1" applyBorder="1" applyAlignment="1" applyProtection="1">
      <alignment horizontal="center" vertical="center"/>
      <protection locked="0"/>
    </xf>
    <xf numFmtId="1" fontId="3" fillId="2" borderId="17" xfId="0" applyNumberFormat="1" applyFont="1" applyFill="1" applyBorder="1" applyAlignment="1" applyProtection="1">
      <alignment vertical="center"/>
      <protection locked="0"/>
    </xf>
    <xf numFmtId="9" fontId="7" fillId="2" borderId="29" xfId="1" applyFont="1" applyFill="1" applyBorder="1" applyAlignment="1" applyProtection="1">
      <alignment horizontal="center" vertical="center"/>
      <protection locked="0"/>
    </xf>
    <xf numFmtId="1" fontId="7" fillId="2" borderId="29" xfId="0" applyNumberFormat="1" applyFont="1" applyFill="1" applyBorder="1" applyAlignment="1" applyProtection="1">
      <alignment horizontal="center" vertical="center"/>
      <protection locked="0"/>
    </xf>
    <xf numFmtId="0" fontId="0" fillId="0" borderId="1" xfId="0" applyBorder="1" applyAlignment="1">
      <alignment vertical="top" wrapText="1"/>
    </xf>
    <xf numFmtId="0" fontId="37" fillId="0" borderId="1" xfId="0" applyFont="1" applyBorder="1" applyAlignment="1">
      <alignment horizontal="center" vertical="center" wrapText="1"/>
    </xf>
    <xf numFmtId="0" fontId="37" fillId="0" borderId="1" xfId="0" applyFont="1" applyBorder="1" applyAlignment="1">
      <alignment horizontal="right" vertical="center" wrapText="1"/>
    </xf>
    <xf numFmtId="0" fontId="37" fillId="0" borderId="1" xfId="0" applyFont="1" applyBorder="1" applyAlignment="1">
      <alignment horizontal="left" vertical="center" wrapText="1" indent="5"/>
    </xf>
    <xf numFmtId="1" fontId="0" fillId="2" borderId="1" xfId="0" applyNumberFormat="1" applyFill="1" applyBorder="1" applyAlignment="1" applyProtection="1">
      <alignment horizontal="center" vertical="center"/>
      <protection locked="0"/>
    </xf>
    <xf numFmtId="1" fontId="0" fillId="2" borderId="29" xfId="0" applyNumberFormat="1" applyFill="1" applyBorder="1" applyAlignment="1" applyProtection="1">
      <alignment horizontal="center" vertical="center"/>
      <protection locked="0"/>
    </xf>
    <xf numFmtId="1" fontId="27" fillId="11" borderId="1" xfId="0" applyNumberFormat="1" applyFont="1" applyFill="1" applyBorder="1" applyAlignment="1" applyProtection="1">
      <alignment horizontal="center" vertical="center" wrapText="1"/>
      <protection locked="0"/>
    </xf>
    <xf numFmtId="1" fontId="0" fillId="2" borderId="1" xfId="0" applyNumberFormat="1" applyFont="1" applyFill="1" applyBorder="1" applyAlignment="1" applyProtection="1">
      <alignment horizontal="center" vertical="center" wrapText="1"/>
      <protection locked="0"/>
    </xf>
    <xf numFmtId="1" fontId="13" fillId="2" borderId="1" xfId="0" applyNumberFormat="1" applyFont="1" applyFill="1" applyBorder="1" applyAlignment="1" applyProtection="1">
      <alignment vertical="center"/>
      <protection locked="0"/>
    </xf>
    <xf numFmtId="1" fontId="12" fillId="2" borderId="1" xfId="0" applyNumberFormat="1" applyFont="1" applyFill="1" applyBorder="1" applyAlignment="1" applyProtection="1">
      <alignment horizontal="center" vertical="center"/>
      <protection locked="0"/>
    </xf>
    <xf numFmtId="1" fontId="27" fillId="2" borderId="1" xfId="0" applyNumberFormat="1" applyFont="1" applyFill="1" applyBorder="1" applyAlignment="1" applyProtection="1">
      <alignment horizontal="center" vertical="center" wrapText="1"/>
      <protection locked="0"/>
    </xf>
    <xf numFmtId="1" fontId="0" fillId="2" borderId="29" xfId="0" applyNumberFormat="1" applyFont="1" applyFill="1" applyBorder="1" applyAlignment="1" applyProtection="1">
      <alignment horizontal="center" vertical="center" wrapText="1"/>
      <protection locked="0"/>
    </xf>
    <xf numFmtId="1" fontId="19" fillId="2" borderId="1" xfId="0" applyNumberFormat="1" applyFont="1" applyFill="1" applyBorder="1" applyAlignment="1" applyProtection="1">
      <alignment horizontal="center" vertical="center" wrapText="1"/>
      <protection locked="0"/>
    </xf>
    <xf numFmtId="1" fontId="19" fillId="2" borderId="16" xfId="0" applyNumberFormat="1" applyFont="1" applyFill="1" applyBorder="1" applyAlignment="1" applyProtection="1">
      <alignment horizontal="center" vertical="center" wrapText="1"/>
      <protection locked="0"/>
    </xf>
    <xf numFmtId="0" fontId="19" fillId="2" borderId="1" xfId="0" applyFont="1" applyFill="1" applyBorder="1" applyAlignment="1" applyProtection="1">
      <alignment vertical="center" wrapText="1"/>
      <protection locked="0"/>
    </xf>
    <xf numFmtId="1" fontId="19" fillId="2" borderId="29" xfId="0" applyNumberFormat="1" applyFont="1" applyFill="1" applyBorder="1" applyAlignment="1" applyProtection="1">
      <alignment horizontal="center" vertical="center" wrapText="1"/>
      <protection locked="0"/>
    </xf>
    <xf numFmtId="1" fontId="0" fillId="2" borderId="29" xfId="1" applyNumberFormat="1" applyFont="1" applyFill="1" applyBorder="1" applyAlignment="1" applyProtection="1">
      <alignment horizontal="center" vertical="center"/>
      <protection locked="0"/>
    </xf>
    <xf numFmtId="1" fontId="2" fillId="0" borderId="41" xfId="0" applyNumberFormat="1" applyFont="1" applyFill="1" applyBorder="1" applyAlignment="1">
      <alignment vertical="center" wrapText="1"/>
    </xf>
    <xf numFmtId="1" fontId="2" fillId="0" borderId="67" xfId="0" applyNumberFormat="1" applyFont="1" applyFill="1" applyBorder="1" applyAlignment="1">
      <alignment vertical="center" wrapText="1"/>
    </xf>
    <xf numFmtId="1" fontId="2" fillId="0" borderId="64" xfId="0" applyNumberFormat="1" applyFont="1" applyFill="1" applyBorder="1" applyAlignment="1">
      <alignment vertical="center" wrapText="1"/>
    </xf>
    <xf numFmtId="1" fontId="2" fillId="2" borderId="1" xfId="0" applyNumberFormat="1" applyFont="1" applyFill="1" applyBorder="1" applyAlignment="1" applyProtection="1">
      <alignment vertical="center" wrapText="1"/>
      <protection locked="0"/>
    </xf>
    <xf numFmtId="0" fontId="0" fillId="2" borderId="1" xfId="0" applyFill="1" applyBorder="1" applyProtection="1">
      <protection locked="0"/>
    </xf>
    <xf numFmtId="1" fontId="27" fillId="2" borderId="29" xfId="0" applyNumberFormat="1" applyFont="1" applyFill="1" applyBorder="1" applyAlignment="1" applyProtection="1">
      <alignment horizontal="center"/>
      <protection locked="0"/>
    </xf>
    <xf numFmtId="1" fontId="18" fillId="2" borderId="1" xfId="0" applyNumberFormat="1" applyFont="1" applyFill="1" applyBorder="1" applyAlignment="1" applyProtection="1">
      <alignment horizontal="center" vertical="center" wrapText="1"/>
      <protection locked="0"/>
    </xf>
    <xf numFmtId="1" fontId="18" fillId="2" borderId="29" xfId="0" applyNumberFormat="1" applyFont="1" applyFill="1" applyBorder="1" applyAlignment="1" applyProtection="1">
      <alignment horizontal="center" vertical="center" wrapText="1"/>
      <protection locked="0"/>
    </xf>
    <xf numFmtId="1" fontId="3" fillId="2" borderId="1" xfId="0" applyNumberFormat="1" applyFont="1" applyFill="1" applyBorder="1" applyAlignment="1" applyProtection="1">
      <alignment horizontal="center" vertical="center" wrapText="1"/>
      <protection locked="0"/>
    </xf>
    <xf numFmtId="1" fontId="3" fillId="2" borderId="29" xfId="0" applyNumberFormat="1" applyFont="1" applyFill="1" applyBorder="1" applyAlignment="1" applyProtection="1">
      <alignment horizontal="center" vertical="center" wrapText="1"/>
      <protection locked="0"/>
    </xf>
    <xf numFmtId="1" fontId="3" fillId="2" borderId="50" xfId="0" applyNumberFormat="1" applyFont="1" applyFill="1" applyBorder="1" applyAlignment="1" applyProtection="1">
      <alignment horizontal="center" vertical="center" wrapText="1"/>
      <protection locked="0"/>
    </xf>
    <xf numFmtId="1" fontId="13" fillId="2" borderId="1" xfId="0" applyNumberFormat="1" applyFont="1" applyFill="1" applyBorder="1" applyAlignment="1">
      <alignment horizontal="center" vertical="center" wrapText="1"/>
    </xf>
    <xf numFmtId="1" fontId="13" fillId="2" borderId="1" xfId="0" applyNumberFormat="1" applyFont="1" applyFill="1" applyBorder="1" applyAlignment="1" applyProtection="1">
      <alignment horizontal="center" vertical="center" wrapText="1"/>
      <protection locked="0"/>
    </xf>
    <xf numFmtId="1" fontId="24" fillId="2" borderId="1" xfId="0" applyNumberFormat="1"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1" fontId="4" fillId="2" borderId="9" xfId="0" applyNumberFormat="1"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1" fontId="2" fillId="2" borderId="1" xfId="0" applyNumberFormat="1" applyFont="1" applyFill="1" applyBorder="1" applyAlignment="1" applyProtection="1">
      <alignment horizontal="center" vertical="center"/>
      <protection locked="0"/>
    </xf>
    <xf numFmtId="0" fontId="14" fillId="0" borderId="1" xfId="0" applyFont="1" applyFill="1" applyBorder="1" applyAlignment="1">
      <alignment vertical="center" wrapText="1"/>
    </xf>
    <xf numFmtId="0" fontId="0" fillId="10" borderId="1" xfId="0" applyFill="1" applyBorder="1" applyAlignment="1" applyProtection="1">
      <alignment horizontal="center" vertical="center"/>
    </xf>
    <xf numFmtId="0" fontId="53" fillId="0" borderId="77" xfId="0" applyFont="1" applyBorder="1" applyAlignment="1">
      <alignment vertical="center" wrapText="1"/>
    </xf>
    <xf numFmtId="0" fontId="54" fillId="0" borderId="0" xfId="0" applyFont="1" applyAlignment="1">
      <alignment vertical="center"/>
    </xf>
    <xf numFmtId="0" fontId="55" fillId="0" borderId="0" xfId="0" applyFont="1" applyAlignment="1">
      <alignment horizontal="left" vertical="center"/>
    </xf>
    <xf numFmtId="0" fontId="58" fillId="0" borderId="71" xfId="0" applyFont="1" applyBorder="1" applyAlignment="1">
      <alignment horizontal="justify" vertical="center" wrapText="1"/>
    </xf>
    <xf numFmtId="0" fontId="58" fillId="0" borderId="42" xfId="0" applyFont="1" applyBorder="1" applyAlignment="1">
      <alignment horizontal="justify" vertical="center" wrapText="1"/>
    </xf>
    <xf numFmtId="1" fontId="42" fillId="10" borderId="11" xfId="0" applyNumberFormat="1" applyFont="1" applyFill="1" applyBorder="1" applyAlignment="1">
      <alignment vertical="center" wrapText="1"/>
    </xf>
    <xf numFmtId="0" fontId="17" fillId="2" borderId="29" xfId="0" applyFont="1" applyFill="1" applyBorder="1" applyAlignment="1" applyProtection="1">
      <alignment vertical="center" wrapText="1"/>
      <protection locked="0"/>
    </xf>
    <xf numFmtId="0" fontId="15" fillId="0" borderId="1" xfId="0" applyFont="1" applyBorder="1" applyAlignment="1"/>
    <xf numFmtId="1" fontId="16" fillId="12" borderId="1" xfId="0" applyNumberFormat="1" applyFont="1" applyFill="1" applyBorder="1" applyAlignment="1" applyProtection="1">
      <alignment horizontal="center" vertical="center" wrapText="1"/>
      <protection locked="0"/>
    </xf>
    <xf numFmtId="1" fontId="16" fillId="12" borderId="1" xfId="0" applyNumberFormat="1" applyFont="1" applyFill="1" applyBorder="1" applyAlignment="1" applyProtection="1">
      <alignment horizontal="center" vertical="center"/>
      <protection locked="0"/>
    </xf>
    <xf numFmtId="1" fontId="16" fillId="12" borderId="29" xfId="0" applyNumberFormat="1" applyFont="1" applyFill="1" applyBorder="1" applyAlignment="1" applyProtection="1">
      <alignment horizontal="center" vertical="center" wrapText="1"/>
      <protection locked="0"/>
    </xf>
    <xf numFmtId="1" fontId="16" fillId="12" borderId="29" xfId="0" applyNumberFormat="1" applyFont="1" applyFill="1" applyBorder="1" applyAlignment="1" applyProtection="1">
      <alignment horizontal="center" vertical="center"/>
      <protection locked="0"/>
    </xf>
    <xf numFmtId="1" fontId="10" fillId="12" borderId="1" xfId="0" applyNumberFormat="1" applyFont="1" applyFill="1" applyBorder="1" applyAlignment="1" applyProtection="1">
      <alignment horizontal="center" vertical="center"/>
      <protection locked="0"/>
    </xf>
    <xf numFmtId="2" fontId="36" fillId="0" borderId="1" xfId="0" applyNumberFormat="1" applyFont="1" applyFill="1" applyBorder="1" applyAlignment="1" applyProtection="1">
      <alignment horizontal="center" vertical="top" wrapText="1"/>
    </xf>
    <xf numFmtId="0" fontId="30" fillId="0" borderId="1" xfId="2" applyFont="1" applyFill="1" applyBorder="1" applyAlignment="1">
      <alignment horizontal="left" vertical="center"/>
    </xf>
    <xf numFmtId="0" fontId="30" fillId="0" borderId="1" xfId="2" applyFont="1" applyFill="1" applyBorder="1" applyAlignment="1">
      <alignment horizontal="left" vertical="center" wrapText="1"/>
    </xf>
    <xf numFmtId="0" fontId="45" fillId="0" borderId="1" xfId="2" applyFont="1" applyFill="1" applyBorder="1" applyAlignment="1">
      <alignment horizontal="left" vertical="center"/>
    </xf>
    <xf numFmtId="0" fontId="4" fillId="0" borderId="0" xfId="0" applyFont="1" applyBorder="1" applyAlignment="1">
      <alignment horizontal="center"/>
    </xf>
    <xf numFmtId="0" fontId="3" fillId="0" borderId="0" xfId="0" applyFont="1" applyBorder="1" applyAlignment="1">
      <alignment horizontal="left" vertical="center" wrapText="1"/>
    </xf>
    <xf numFmtId="1" fontId="3" fillId="0" borderId="0" xfId="0" applyNumberFormat="1" applyFont="1" applyBorder="1" applyAlignment="1">
      <alignment horizontal="center" vertical="center" wrapText="1"/>
    </xf>
    <xf numFmtId="1"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9" fontId="30" fillId="0" borderId="0" xfId="1" applyFont="1" applyBorder="1" applyAlignment="1">
      <alignment horizontal="center" vertical="center"/>
    </xf>
    <xf numFmtId="1" fontId="4" fillId="0" borderId="0" xfId="0" applyNumberFormat="1" applyFont="1" applyBorder="1" applyAlignment="1">
      <alignment horizontal="center" vertical="center"/>
    </xf>
    <xf numFmtId="0" fontId="30" fillId="8" borderId="0" xfId="0" applyFont="1" applyFill="1" applyBorder="1" applyAlignment="1">
      <alignment horizontal="center" wrapText="1"/>
    </xf>
    <xf numFmtId="0" fontId="4" fillId="0" borderId="0" xfId="0" applyFont="1" applyBorder="1" applyAlignment="1">
      <alignment horizontal="left"/>
    </xf>
    <xf numFmtId="1" fontId="3" fillId="0" borderId="1" xfId="0" applyNumberFormat="1" applyFont="1" applyBorder="1" applyAlignment="1">
      <alignment horizontal="center" vertical="center" wrapText="1"/>
    </xf>
    <xf numFmtId="0" fontId="3" fillId="12" borderId="1" xfId="0" applyFont="1" applyFill="1" applyBorder="1" applyAlignment="1" applyProtection="1">
      <alignment horizontal="center" vertical="center" wrapText="1"/>
      <protection locked="0"/>
    </xf>
    <xf numFmtId="1" fontId="3" fillId="12" borderId="1" xfId="0" applyNumberFormat="1" applyFont="1" applyFill="1" applyBorder="1" applyAlignment="1" applyProtection="1">
      <alignment horizontal="center" vertical="center" wrapText="1"/>
      <protection locked="0"/>
    </xf>
    <xf numFmtId="0" fontId="0" fillId="12" borderId="1" xfId="0" applyFill="1" applyBorder="1" applyAlignment="1" applyProtection="1">
      <alignment horizontal="center" vertical="center" wrapText="1"/>
      <protection locked="0"/>
    </xf>
    <xf numFmtId="0" fontId="15" fillId="0" borderId="0" xfId="0" applyFont="1" applyBorder="1" applyAlignment="1">
      <alignment horizontal="left"/>
    </xf>
    <xf numFmtId="0" fontId="0" fillId="0" borderId="0" xfId="0" applyBorder="1" applyAlignment="1">
      <alignment horizontal="left"/>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29" xfId="0" applyFont="1" applyBorder="1" applyAlignment="1">
      <alignment horizontal="left" vertical="center" wrapText="1"/>
    </xf>
    <xf numFmtId="0" fontId="3" fillId="0" borderId="11" xfId="0" applyFont="1" applyBorder="1" applyAlignment="1">
      <alignment horizontal="left" vertical="center" wrapText="1"/>
    </xf>
    <xf numFmtId="0" fontId="30" fillId="0" borderId="0" xfId="0" applyFont="1" applyFill="1" applyBorder="1" applyAlignment="1">
      <alignment horizontal="left" vertical="center" wrapText="1"/>
    </xf>
    <xf numFmtId="0" fontId="6" fillId="0" borderId="0" xfId="0" applyFont="1" applyAlignment="1">
      <alignment wrapText="1"/>
    </xf>
    <xf numFmtId="0" fontId="6" fillId="2" borderId="0" xfId="0" applyFont="1" applyFill="1" applyAlignment="1">
      <alignment horizontal="center" wrapText="1"/>
    </xf>
    <xf numFmtId="0" fontId="6" fillId="0" borderId="0" xfId="0" applyFont="1" applyAlignment="1"/>
    <xf numFmtId="0" fontId="6" fillId="2" borderId="0" xfId="0" applyFont="1" applyFill="1" applyAlignment="1">
      <alignment horizontal="center" vertical="center"/>
    </xf>
    <xf numFmtId="0" fontId="7" fillId="0" borderId="0" xfId="0" applyFont="1" applyFill="1" applyAlignment="1">
      <alignment horizontal="center"/>
    </xf>
    <xf numFmtId="0" fontId="8" fillId="0" borderId="0" xfId="0" applyFont="1" applyAlignment="1">
      <alignment wrapText="1"/>
    </xf>
    <xf numFmtId="0" fontId="8" fillId="2" borderId="0" xfId="0" applyFont="1" applyFill="1" applyAlignment="1">
      <alignment horizontal="center" wrapText="1"/>
    </xf>
    <xf numFmtId="0" fontId="8" fillId="0" borderId="0" xfId="0" applyFont="1" applyFill="1" applyAlignment="1">
      <alignment wrapText="1"/>
    </xf>
    <xf numFmtId="0" fontId="8" fillId="0" borderId="0" xfId="0" applyFont="1" applyFill="1" applyAlignment="1">
      <alignment horizontal="center" wrapText="1"/>
    </xf>
    <xf numFmtId="0" fontId="0" fillId="0" borderId="5" xfId="0" applyBorder="1" applyAlignment="1">
      <alignment wrapText="1"/>
    </xf>
    <xf numFmtId="0" fontId="0" fillId="0" borderId="6" xfId="0" applyBorder="1" applyAlignment="1">
      <alignment wrapText="1"/>
    </xf>
    <xf numFmtId="0" fontId="0" fillId="0" borderId="8" xfId="0" applyBorder="1" applyAlignment="1">
      <alignment wrapText="1"/>
    </xf>
    <xf numFmtId="0" fontId="0" fillId="0" borderId="13" xfId="0" applyBorder="1" applyAlignment="1">
      <alignment wrapText="1"/>
    </xf>
    <xf numFmtId="0" fontId="0" fillId="0" borderId="15" xfId="0" applyBorder="1" applyAlignment="1">
      <alignment wrapText="1"/>
    </xf>
    <xf numFmtId="0" fontId="0" fillId="0" borderId="23" xfId="0" applyBorder="1" applyAlignment="1">
      <alignment wrapText="1"/>
    </xf>
    <xf numFmtId="1" fontId="13" fillId="4" borderId="1" xfId="0" applyNumberFormat="1" applyFont="1" applyFill="1" applyBorder="1" applyAlignment="1">
      <alignment horizontal="center" vertical="center"/>
    </xf>
    <xf numFmtId="0" fontId="13" fillId="0" borderId="1" xfId="0" applyFont="1" applyBorder="1" applyAlignment="1">
      <alignment horizontal="center" vertical="center"/>
    </xf>
    <xf numFmtId="0" fontId="27" fillId="2" borderId="1" xfId="0" applyFont="1" applyFill="1" applyBorder="1" applyAlignment="1">
      <alignment horizontal="center" vertical="center"/>
    </xf>
    <xf numFmtId="0" fontId="27" fillId="8" borderId="1" xfId="0" applyFont="1" applyFill="1" applyBorder="1" applyAlignment="1">
      <alignment horizontal="center" vertical="center"/>
    </xf>
    <xf numFmtId="1" fontId="27" fillId="2" borderId="1" xfId="0" applyNumberFormat="1" applyFont="1" applyFill="1" applyBorder="1" applyAlignment="1">
      <alignment horizontal="center" vertical="center"/>
    </xf>
    <xf numFmtId="0" fontId="11" fillId="8" borderId="1" xfId="0" applyFont="1" applyFill="1" applyBorder="1" applyAlignment="1">
      <alignment horizontal="center" vertical="center"/>
    </xf>
    <xf numFmtId="0" fontId="11" fillId="8" borderId="29" xfId="0" applyFont="1" applyFill="1" applyBorder="1" applyAlignment="1">
      <alignment horizontal="center" vertical="center"/>
    </xf>
    <xf numFmtId="0" fontId="27" fillId="2" borderId="29" xfId="0" applyFont="1" applyFill="1" applyBorder="1" applyAlignment="1">
      <alignment horizontal="center" vertical="center"/>
    </xf>
    <xf numFmtId="0" fontId="0" fillId="0" borderId="33" xfId="0" applyFont="1" applyFill="1" applyBorder="1" applyAlignment="1">
      <alignment horizontal="center" vertical="center" wrapText="1"/>
    </xf>
    <xf numFmtId="0" fontId="14" fillId="0" borderId="29" xfId="0" applyFont="1" applyBorder="1" applyAlignment="1">
      <alignment horizontal="center" vertical="center"/>
    </xf>
    <xf numFmtId="0" fontId="13" fillId="8" borderId="1" xfId="0" applyFont="1" applyFill="1" applyBorder="1" applyAlignment="1">
      <alignment vertical="center"/>
    </xf>
    <xf numFmtId="0" fontId="13" fillId="8" borderId="29" xfId="0" applyFont="1" applyFill="1" applyBorder="1" applyAlignment="1">
      <alignment vertical="center"/>
    </xf>
    <xf numFmtId="0" fontId="13" fillId="0" borderId="36" xfId="0" applyFont="1" applyBorder="1" applyAlignment="1">
      <alignment horizontal="center" vertical="center"/>
    </xf>
    <xf numFmtId="0" fontId="2" fillId="0" borderId="23" xfId="0" applyFont="1" applyBorder="1" applyAlignment="1">
      <alignment wrapText="1"/>
    </xf>
    <xf numFmtId="0" fontId="2" fillId="0" borderId="0" xfId="0" applyFont="1" applyBorder="1" applyAlignment="1">
      <alignment wrapText="1"/>
    </xf>
    <xf numFmtId="0" fontId="5" fillId="0" borderId="0" xfId="0" applyFont="1" applyBorder="1" applyAlignment="1">
      <alignment horizontal="center" wrapText="1"/>
    </xf>
    <xf numFmtId="1" fontId="16" fillId="2" borderId="1" xfId="0" applyNumberFormat="1" applyFont="1" applyFill="1" applyBorder="1" applyAlignment="1">
      <alignment horizontal="center" vertical="center" wrapText="1"/>
    </xf>
    <xf numFmtId="1" fontId="16" fillId="2" borderId="1" xfId="0" applyNumberFormat="1" applyFont="1" applyFill="1" applyBorder="1" applyAlignment="1">
      <alignment horizontal="center" vertical="center"/>
    </xf>
    <xf numFmtId="1" fontId="16" fillId="2" borderId="29" xfId="0" applyNumberFormat="1" applyFont="1" applyFill="1" applyBorder="1" applyAlignment="1">
      <alignment horizontal="center" vertical="center" wrapText="1"/>
    </xf>
    <xf numFmtId="1" fontId="16" fillId="2" borderId="29" xfId="0" applyNumberFormat="1" applyFont="1" applyFill="1" applyBorder="1" applyAlignment="1">
      <alignment horizontal="center" vertical="center"/>
    </xf>
    <xf numFmtId="0" fontId="12" fillId="0" borderId="0" xfId="0" applyFont="1" applyBorder="1" applyAlignment="1">
      <alignment horizontal="right" wrapText="1"/>
    </xf>
    <xf numFmtId="0" fontId="0" fillId="0" borderId="0" xfId="0" applyBorder="1" applyAlignment="1">
      <alignment horizontal="right" wrapText="1"/>
    </xf>
    <xf numFmtId="0" fontId="18" fillId="0" borderId="5" xfId="0" applyFont="1" applyBorder="1" applyAlignment="1">
      <alignment wrapText="1"/>
    </xf>
    <xf numFmtId="0" fontId="18" fillId="0" borderId="6" xfId="0" applyFont="1" applyBorder="1" applyAlignment="1">
      <alignment wrapText="1"/>
    </xf>
    <xf numFmtId="0" fontId="59" fillId="0" borderId="9" xfId="0" applyFont="1" applyBorder="1" applyAlignment="1">
      <alignment horizontal="center" vertical="center" wrapText="1"/>
    </xf>
    <xf numFmtId="1" fontId="19" fillId="2" borderId="29" xfId="0" applyNumberFormat="1" applyFont="1" applyFill="1" applyBorder="1" applyAlignment="1">
      <alignment horizontal="center" vertical="center"/>
    </xf>
    <xf numFmtId="1" fontId="17" fillId="2" borderId="29" xfId="0" applyNumberFormat="1" applyFont="1" applyFill="1" applyBorder="1" applyAlignment="1">
      <alignment horizontal="center" vertical="center" wrapText="1"/>
    </xf>
    <xf numFmtId="0" fontId="21" fillId="0" borderId="36" xfId="0" applyFont="1" applyBorder="1" applyAlignment="1">
      <alignment horizontal="center" vertical="center"/>
    </xf>
    <xf numFmtId="0" fontId="7" fillId="0" borderId="0" xfId="0" applyFont="1" applyFill="1"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39" xfId="0" applyBorder="1" applyAlignment="1">
      <alignment wrapText="1"/>
    </xf>
    <xf numFmtId="0" fontId="0" fillId="0" borderId="39" xfId="0" applyBorder="1" applyAlignment="1">
      <alignment horizontal="right" wrapText="1"/>
    </xf>
    <xf numFmtId="0" fontId="11" fillId="0" borderId="0" xfId="0" applyFont="1" applyFill="1" applyBorder="1" applyAlignment="1">
      <alignment horizontal="right" wrapText="1"/>
    </xf>
    <xf numFmtId="0" fontId="0" fillId="0" borderId="23" xfId="0" applyBorder="1" applyAlignment="1">
      <alignment horizontal="center" wrapText="1"/>
    </xf>
    <xf numFmtId="1" fontId="0" fillId="0" borderId="1" xfId="0" applyNumberFormat="1" applyFill="1" applyBorder="1" applyAlignment="1">
      <alignment horizontal="center" vertical="center"/>
    </xf>
    <xf numFmtId="0" fontId="25" fillId="0" borderId="23" xfId="0" applyFont="1" applyBorder="1" applyAlignment="1">
      <alignment vertical="center" wrapText="1"/>
    </xf>
    <xf numFmtId="1" fontId="0" fillId="2" borderId="29" xfId="0" applyNumberFormat="1" applyFont="1" applyFill="1" applyBorder="1" applyAlignment="1">
      <alignment horizontal="center" vertical="center" wrapText="1"/>
    </xf>
    <xf numFmtId="0" fontId="28" fillId="0" borderId="0" xfId="0" applyFont="1" applyAlignment="1">
      <alignment horizontal="left" vertical="center" wrapText="1"/>
    </xf>
    <xf numFmtId="0" fontId="25" fillId="0" borderId="0" xfId="0" applyFont="1" applyAlignment="1">
      <alignment vertical="center" wrapText="1"/>
    </xf>
    <xf numFmtId="1" fontId="0" fillId="2" borderId="1" xfId="1" applyNumberFormat="1" applyFont="1" applyFill="1" applyBorder="1" applyAlignment="1">
      <alignment horizontal="center" vertical="center"/>
    </xf>
    <xf numFmtId="0" fontId="0" fillId="0" borderId="23" xfId="0" applyFill="1" applyBorder="1" applyAlignment="1">
      <alignment wrapText="1"/>
    </xf>
    <xf numFmtId="0" fontId="30" fillId="0" borderId="13" xfId="0" applyFont="1" applyFill="1" applyBorder="1" applyAlignment="1">
      <alignment wrapText="1"/>
    </xf>
    <xf numFmtId="0" fontId="18" fillId="2" borderId="13" xfId="0" applyFont="1" applyFill="1" applyBorder="1" applyAlignment="1">
      <alignment vertical="center" wrapText="1"/>
    </xf>
    <xf numFmtId="0" fontId="2" fillId="0" borderId="48" xfId="0" applyFont="1" applyBorder="1" applyAlignment="1">
      <alignment horizontal="right" wrapText="1"/>
    </xf>
    <xf numFmtId="1" fontId="13" fillId="0" borderId="36" xfId="0" applyNumberFormat="1" applyFont="1" applyBorder="1" applyAlignment="1">
      <alignment horizontal="center" vertical="center" wrapText="1"/>
    </xf>
    <xf numFmtId="0" fontId="0" fillId="0" borderId="0" xfId="0" applyFill="1" applyBorder="1" applyAlignment="1">
      <alignment wrapText="1"/>
    </xf>
    <xf numFmtId="0" fontId="12" fillId="0" borderId="13" xfId="0" applyFont="1" applyBorder="1" applyAlignment="1">
      <alignment horizontal="left" vertical="center" wrapText="1"/>
    </xf>
    <xf numFmtId="0" fontId="18" fillId="2" borderId="23" xfId="0" applyFont="1" applyFill="1" applyBorder="1" applyAlignment="1">
      <alignment vertical="center" wrapText="1"/>
    </xf>
    <xf numFmtId="0" fontId="12" fillId="0" borderId="23" xfId="0" applyFont="1" applyBorder="1" applyAlignment="1">
      <alignment horizontal="center" vertical="center" wrapText="1"/>
    </xf>
    <xf numFmtId="0" fontId="30" fillId="0" borderId="0" xfId="0" applyFont="1" applyBorder="1" applyAlignment="1">
      <alignment wrapText="1"/>
    </xf>
    <xf numFmtId="0" fontId="4" fillId="0" borderId="48" xfId="0" applyFont="1" applyBorder="1" applyAlignment="1">
      <alignment horizontal="center" wrapText="1"/>
    </xf>
    <xf numFmtId="0" fontId="4" fillId="0" borderId="60" xfId="0" applyFont="1" applyFill="1" applyBorder="1" applyAlignment="1">
      <alignment horizontal="center" wrapText="1"/>
    </xf>
    <xf numFmtId="0" fontId="27" fillId="0" borderId="1" xfId="0" applyFont="1" applyBorder="1" applyAlignment="1">
      <alignment horizontal="center"/>
    </xf>
    <xf numFmtId="0" fontId="0" fillId="0" borderId="1" xfId="0" applyFill="1" applyBorder="1" applyAlignment="1">
      <alignment wrapText="1"/>
    </xf>
    <xf numFmtId="0" fontId="0" fillId="0" borderId="1" xfId="0" applyFill="1" applyBorder="1"/>
    <xf numFmtId="0" fontId="37" fillId="0" borderId="1" xfId="0" applyFont="1" applyBorder="1" applyAlignment="1">
      <alignment horizontal="center" vertical="center" wrapText="1"/>
    </xf>
    <xf numFmtId="0" fontId="5" fillId="9" borderId="23" xfId="0" applyFont="1" applyFill="1" applyBorder="1" applyAlignment="1">
      <alignment horizontal="left"/>
    </xf>
    <xf numFmtId="0" fontId="5" fillId="9" borderId="0" xfId="0" applyFont="1" applyFill="1" applyBorder="1" applyAlignment="1">
      <alignment horizontal="left"/>
    </xf>
    <xf numFmtId="1" fontId="27" fillId="2" borderId="1" xfId="0" applyNumberFormat="1" applyFont="1" applyFill="1" applyBorder="1" applyAlignment="1">
      <alignment horizontal="center" vertical="center" wrapText="1"/>
    </xf>
    <xf numFmtId="1" fontId="27" fillId="2" borderId="29" xfId="0" applyNumberFormat="1" applyFont="1" applyFill="1" applyBorder="1" applyAlignment="1">
      <alignment horizontal="center" vertical="center" wrapText="1"/>
    </xf>
    <xf numFmtId="1" fontId="19" fillId="2" borderId="1" xfId="0" applyNumberFormat="1" applyFont="1" applyFill="1" applyBorder="1" applyAlignment="1">
      <alignment horizontal="center" vertical="center"/>
    </xf>
    <xf numFmtId="0" fontId="0" fillId="12" borderId="1" xfId="0" applyFill="1" applyBorder="1" applyAlignment="1">
      <alignment horizontal="center" vertical="center" wrapText="1"/>
    </xf>
    <xf numFmtId="1" fontId="0" fillId="12" borderId="1" xfId="0" applyNumberFormat="1" applyFill="1" applyBorder="1" applyAlignment="1">
      <alignment horizontal="center" vertical="center" wrapText="1"/>
    </xf>
    <xf numFmtId="1" fontId="13" fillId="12" borderId="1" xfId="0" applyNumberFormat="1" applyFont="1" applyFill="1" applyBorder="1" applyAlignment="1" applyProtection="1">
      <alignment horizontal="center" vertical="center"/>
      <protection locked="0"/>
    </xf>
    <xf numFmtId="0" fontId="5" fillId="3" borderId="0" xfId="0" applyFont="1" applyFill="1" applyBorder="1" applyAlignment="1">
      <alignment horizontal="center"/>
    </xf>
    <xf numFmtId="0" fontId="60" fillId="8" borderId="1" xfId="0" applyFont="1" applyFill="1" applyBorder="1" applyAlignment="1">
      <alignment horizontal="center" vertical="center"/>
    </xf>
    <xf numFmtId="0" fontId="17" fillId="12" borderId="33" xfId="0" applyFont="1" applyFill="1" applyBorder="1" applyAlignment="1" applyProtection="1">
      <alignment vertical="center" wrapText="1"/>
      <protection locked="0"/>
    </xf>
    <xf numFmtId="0" fontId="48" fillId="0" borderId="1" xfId="0" applyFont="1" applyBorder="1" applyAlignment="1">
      <alignment horizontal="center" vertical="center" wrapText="1"/>
    </xf>
    <xf numFmtId="0" fontId="5" fillId="9" borderId="44" xfId="0" applyFont="1" applyFill="1" applyBorder="1" applyAlignment="1"/>
    <xf numFmtId="0" fontId="5" fillId="9" borderId="45" xfId="0" applyFont="1" applyFill="1" applyBorder="1" applyAlignment="1"/>
    <xf numFmtId="0" fontId="0" fillId="10" borderId="0" xfId="0" applyFill="1" applyAlignment="1">
      <alignment wrapText="1"/>
    </xf>
    <xf numFmtId="0" fontId="0" fillId="10" borderId="0" xfId="0" applyFill="1"/>
    <xf numFmtId="0" fontId="0" fillId="10" borderId="0" xfId="0" applyFill="1" applyBorder="1"/>
    <xf numFmtId="0" fontId="5" fillId="9" borderId="44" xfId="0" applyFont="1" applyFill="1" applyBorder="1" applyAlignment="1">
      <alignment vertical="center"/>
    </xf>
    <xf numFmtId="0" fontId="5" fillId="9" borderId="45" xfId="0" applyFont="1" applyFill="1" applyBorder="1" applyAlignment="1">
      <alignment vertical="center"/>
    </xf>
    <xf numFmtId="0" fontId="5" fillId="9" borderId="53" xfId="0" applyFont="1" applyFill="1" applyBorder="1" applyAlignment="1"/>
    <xf numFmtId="0" fontId="5" fillId="9" borderId="25" xfId="0" applyFont="1" applyFill="1" applyBorder="1" applyAlignment="1"/>
    <xf numFmtId="0" fontId="4" fillId="0" borderId="34" xfId="0" applyFont="1" applyBorder="1" applyAlignment="1"/>
    <xf numFmtId="1" fontId="0" fillId="2" borderId="1" xfId="0" applyNumberFormat="1" applyFill="1" applyBorder="1" applyAlignment="1">
      <alignment vertical="center"/>
    </xf>
    <xf numFmtId="0" fontId="4" fillId="0" borderId="11" xfId="0" applyFont="1" applyBorder="1" applyAlignment="1">
      <alignment vertical="center" wrapText="1"/>
    </xf>
    <xf numFmtId="14" fontId="0" fillId="0" borderId="0" xfId="0" applyNumberFormat="1"/>
    <xf numFmtId="0" fontId="0" fillId="0" borderId="0" xfId="0" applyBorder="1" applyAlignment="1">
      <alignment horizontal="center" wrapText="1"/>
    </xf>
    <xf numFmtId="0" fontId="19" fillId="12" borderId="1" xfId="0" applyFont="1" applyFill="1" applyBorder="1" applyAlignment="1">
      <alignment horizontal="center" vertical="center" wrapText="1"/>
    </xf>
    <xf numFmtId="1" fontId="5" fillId="0" borderId="17" xfId="0" applyNumberFormat="1" applyFont="1" applyBorder="1" applyAlignment="1">
      <alignment vertical="center"/>
    </xf>
    <xf numFmtId="0" fontId="0" fillId="0" borderId="0" xfId="0" applyBorder="1" applyAlignment="1">
      <alignment horizontal="center"/>
    </xf>
    <xf numFmtId="0" fontId="24" fillId="0" borderId="1" xfId="0" applyFont="1" applyBorder="1"/>
    <xf numFmtId="0" fontId="28" fillId="0" borderId="50" xfId="0" applyFont="1" applyFill="1" applyBorder="1" applyAlignment="1">
      <alignment vertical="center" wrapText="1"/>
    </xf>
    <xf numFmtId="0" fontId="61" fillId="0" borderId="50" xfId="0" applyFont="1" applyFill="1" applyBorder="1" applyAlignment="1">
      <alignment vertical="center" wrapText="1"/>
    </xf>
    <xf numFmtId="0" fontId="24"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0" fillId="0" borderId="0" xfId="0" applyFill="1" applyBorder="1" applyAlignment="1" applyProtection="1">
      <alignment horizontal="left" wrapText="1"/>
      <protection locked="0"/>
    </xf>
    <xf numFmtId="0" fontId="0" fillId="0" borderId="33" xfId="0" applyFill="1" applyBorder="1" applyAlignment="1">
      <alignment horizontal="center" vertical="center"/>
    </xf>
    <xf numFmtId="0" fontId="0" fillId="0" borderId="27" xfId="0" applyFill="1" applyBorder="1" applyAlignment="1">
      <alignment horizontal="center" vertical="center"/>
    </xf>
    <xf numFmtId="0" fontId="0" fillId="12" borderId="14" xfId="0" applyFill="1" applyBorder="1" applyAlignment="1">
      <alignment horizontal="center" vertical="center" wrapText="1"/>
    </xf>
    <xf numFmtId="0" fontId="0" fillId="12" borderId="14" xfId="0" applyFill="1" applyBorder="1" applyAlignment="1" applyProtection="1">
      <alignment horizontal="center" vertical="center" wrapText="1"/>
      <protection locked="0"/>
    </xf>
    <xf numFmtId="1" fontId="0" fillId="12" borderId="16" xfId="0" applyNumberFormat="1" applyFill="1" applyBorder="1" applyAlignment="1">
      <alignment horizontal="center" vertical="center" wrapText="1"/>
    </xf>
    <xf numFmtId="0" fontId="0" fillId="12" borderId="16" xfId="0" applyFill="1" applyBorder="1" applyAlignment="1" applyProtection="1">
      <alignment horizontal="center" vertical="center" wrapText="1"/>
      <protection locked="0"/>
    </xf>
    <xf numFmtId="0" fontId="0" fillId="12" borderId="22" xfId="0" applyFill="1" applyBorder="1" applyAlignment="1" applyProtection="1">
      <alignment horizontal="center" vertical="center" wrapText="1"/>
      <protection locked="0"/>
    </xf>
    <xf numFmtId="0" fontId="0" fillId="0" borderId="6" xfId="0" applyBorder="1" applyAlignment="1">
      <alignment vertical="center"/>
    </xf>
    <xf numFmtId="0" fontId="0" fillId="0" borderId="12" xfId="0" applyBorder="1" applyAlignment="1">
      <alignment vertical="center"/>
    </xf>
    <xf numFmtId="0" fontId="0" fillId="0" borderId="6" xfId="0" applyBorder="1" applyAlignment="1"/>
    <xf numFmtId="0" fontId="0" fillId="0" borderId="12" xfId="0" applyBorder="1" applyAlignment="1"/>
    <xf numFmtId="0" fontId="0" fillId="0" borderId="6" xfId="0" applyFill="1" applyBorder="1" applyAlignment="1"/>
    <xf numFmtId="0" fontId="0" fillId="0" borderId="12" xfId="0" applyFill="1" applyBorder="1" applyAlignment="1"/>
    <xf numFmtId="0" fontId="0" fillId="0" borderId="5" xfId="0" applyBorder="1" applyAlignment="1">
      <alignment vertical="center"/>
    </xf>
    <xf numFmtId="0" fontId="0" fillId="0" borderId="5" xfId="0" applyBorder="1" applyAlignment="1"/>
    <xf numFmtId="0" fontId="0" fillId="0" borderId="5" xfId="0" applyFill="1" applyBorder="1" applyAlignment="1"/>
    <xf numFmtId="0" fontId="0" fillId="12" borderId="63" xfId="0" applyFill="1" applyBorder="1" applyAlignment="1" applyProtection="1">
      <protection locked="0"/>
    </xf>
    <xf numFmtId="0" fontId="0" fillId="12" borderId="69" xfId="0" applyFill="1" applyBorder="1" applyAlignment="1" applyProtection="1">
      <protection locked="0"/>
    </xf>
    <xf numFmtId="0" fontId="0" fillId="12" borderId="51" xfId="0" applyFill="1" applyBorder="1" applyAlignment="1" applyProtection="1">
      <protection locked="0"/>
    </xf>
    <xf numFmtId="0" fontId="0" fillId="12" borderId="1" xfId="0" applyFill="1" applyBorder="1" applyAlignment="1" applyProtection="1">
      <alignment horizontal="center" vertical="center"/>
      <protection locked="0"/>
    </xf>
    <xf numFmtId="0" fontId="0" fillId="12" borderId="14" xfId="0" applyFill="1" applyBorder="1" applyAlignment="1" applyProtection="1">
      <alignment horizontal="center" vertical="center"/>
      <protection locked="0"/>
    </xf>
    <xf numFmtId="0" fontId="0" fillId="12" borderId="22" xfId="0" applyFill="1" applyBorder="1" applyAlignment="1" applyProtection="1">
      <alignment horizontal="center" vertical="center"/>
      <protection locked="0"/>
    </xf>
    <xf numFmtId="1" fontId="12" fillId="2" borderId="1" xfId="0" applyNumberFormat="1" applyFont="1" applyFill="1" applyBorder="1" applyAlignment="1">
      <alignment horizontal="center" vertical="center" wrapText="1"/>
    </xf>
    <xf numFmtId="1" fontId="0" fillId="2" borderId="1" xfId="0" applyNumberFormat="1" applyFill="1" applyBorder="1" applyAlignment="1">
      <alignment horizontal="center" vertical="center" wrapText="1"/>
    </xf>
    <xf numFmtId="1" fontId="11" fillId="0" borderId="1" xfId="0" applyNumberFormat="1" applyFont="1" applyBorder="1" applyAlignment="1">
      <alignment horizontal="center" vertical="center" wrapText="1"/>
    </xf>
    <xf numFmtId="0" fontId="13" fillId="0" borderId="11" xfId="0" applyFont="1" applyBorder="1" applyAlignment="1">
      <alignment vertical="center" wrapText="1"/>
    </xf>
    <xf numFmtId="0" fontId="13" fillId="0" borderId="33" xfId="0" applyFont="1" applyBorder="1" applyAlignment="1">
      <alignment vertical="center" wrapText="1"/>
    </xf>
    <xf numFmtId="1" fontId="19" fillId="12" borderId="11" xfId="0" applyNumberFormat="1" applyFont="1" applyFill="1" applyBorder="1" applyAlignment="1">
      <alignment horizontal="center" vertical="center" wrapText="1"/>
    </xf>
    <xf numFmtId="0" fontId="19" fillId="12" borderId="29" xfId="0" applyFont="1" applyFill="1" applyBorder="1" applyAlignment="1">
      <alignment horizontal="center" vertical="center" wrapText="1"/>
    </xf>
    <xf numFmtId="1" fontId="19" fillId="12" borderId="33" xfId="0" applyNumberFormat="1" applyFont="1" applyFill="1" applyBorder="1" applyAlignment="1">
      <alignment horizontal="center" vertical="center" wrapText="1"/>
    </xf>
    <xf numFmtId="1" fontId="15" fillId="0" borderId="36" xfId="0" applyNumberFormat="1" applyFont="1" applyBorder="1" applyAlignment="1">
      <alignment horizontal="center" vertical="center" wrapText="1"/>
    </xf>
    <xf numFmtId="1" fontId="15" fillId="0" borderId="37" xfId="0" applyNumberFormat="1" applyFont="1" applyBorder="1" applyAlignment="1"/>
    <xf numFmtId="0" fontId="20" fillId="0" borderId="0" xfId="0" applyFont="1" applyBorder="1" applyAlignment="1">
      <alignment vertical="center" wrapText="1"/>
    </xf>
    <xf numFmtId="0" fontId="0" fillId="0" borderId="13" xfId="0" applyBorder="1" applyAlignment="1">
      <alignment horizontal="left" wrapText="1"/>
    </xf>
    <xf numFmtId="0" fontId="0" fillId="12" borderId="13" xfId="0" applyFill="1" applyBorder="1" applyAlignment="1" applyProtection="1">
      <alignment horizontal="left" wrapText="1"/>
      <protection locked="0"/>
    </xf>
    <xf numFmtId="0" fontId="0" fillId="12" borderId="39" xfId="0" applyFill="1" applyBorder="1" applyAlignment="1" applyProtection="1">
      <alignment horizontal="left" wrapText="1"/>
      <protection locked="0"/>
    </xf>
    <xf numFmtId="0" fontId="2" fillId="0" borderId="48" xfId="0" applyFont="1" applyBorder="1" applyAlignment="1">
      <alignment horizontal="center" vertical="center" wrapText="1"/>
    </xf>
    <xf numFmtId="0" fontId="0" fillId="0" borderId="36" xfId="0" applyBorder="1" applyAlignment="1">
      <alignment horizontal="center"/>
    </xf>
    <xf numFmtId="0" fontId="0" fillId="0" borderId="37" xfId="0" applyBorder="1" applyAlignment="1">
      <alignment horizontal="center"/>
    </xf>
    <xf numFmtId="0" fontId="0" fillId="0" borderId="1" xfId="0" applyFill="1" applyBorder="1" applyAlignment="1">
      <alignment horizontal="center" vertical="center"/>
    </xf>
    <xf numFmtId="0" fontId="0" fillId="12" borderId="14" xfId="0" applyFill="1" applyBorder="1" applyAlignment="1">
      <alignment horizontal="center" vertical="center"/>
    </xf>
    <xf numFmtId="0" fontId="0" fillId="12" borderId="47" xfId="0" applyFill="1" applyBorder="1" applyAlignment="1">
      <alignment horizontal="center" vertical="center"/>
    </xf>
    <xf numFmtId="0" fontId="0" fillId="12" borderId="1" xfId="0" applyFill="1" applyBorder="1" applyAlignment="1">
      <alignment horizontal="center" vertical="center"/>
    </xf>
    <xf numFmtId="0" fontId="0" fillId="12" borderId="29" xfId="0" applyFill="1" applyBorder="1" applyAlignment="1">
      <alignment horizontal="center" vertical="center" wrapText="1"/>
    </xf>
    <xf numFmtId="0" fontId="0" fillId="12" borderId="29" xfId="0" applyFill="1" applyBorder="1" applyAlignment="1">
      <alignment horizontal="center" vertical="center"/>
    </xf>
    <xf numFmtId="1" fontId="17" fillId="0" borderId="29" xfId="0" applyNumberFormat="1" applyFont="1" applyFill="1" applyBorder="1" applyAlignment="1">
      <alignment horizontal="center" vertical="center"/>
    </xf>
    <xf numFmtId="1" fontId="17" fillId="2" borderId="1" xfId="0" applyNumberFormat="1" applyFont="1" applyFill="1" applyBorder="1" applyAlignment="1" applyProtection="1">
      <alignment horizontal="center" vertical="center"/>
      <protection locked="0"/>
    </xf>
    <xf numFmtId="1" fontId="17" fillId="2" borderId="1" xfId="0" applyNumberFormat="1" applyFont="1" applyFill="1" applyBorder="1" applyAlignment="1" applyProtection="1">
      <alignment horizontal="center" vertical="center" wrapText="1"/>
      <protection locked="0"/>
    </xf>
    <xf numFmtId="0" fontId="5" fillId="8" borderId="35" xfId="0" applyFont="1" applyFill="1" applyBorder="1" applyAlignment="1">
      <alignment vertical="center"/>
    </xf>
    <xf numFmtId="1" fontId="13" fillId="0" borderId="29" xfId="0" applyNumberFormat="1" applyFont="1" applyFill="1" applyBorder="1" applyAlignment="1">
      <alignment horizontal="center" vertical="center"/>
    </xf>
    <xf numFmtId="1" fontId="26" fillId="0" borderId="1" xfId="0" applyNumberFormat="1" applyFont="1" applyFill="1" applyBorder="1" applyAlignment="1">
      <alignment horizontal="center" vertical="center" wrapText="1"/>
    </xf>
    <xf numFmtId="1" fontId="26" fillId="0" borderId="29" xfId="0" applyNumberFormat="1" applyFont="1" applyFill="1" applyBorder="1" applyAlignment="1">
      <alignment horizontal="center" vertical="center" wrapText="1"/>
    </xf>
    <xf numFmtId="0" fontId="5" fillId="9" borderId="26" xfId="0" applyFont="1" applyFill="1" applyBorder="1" applyAlignment="1"/>
    <xf numFmtId="0" fontId="7" fillId="0" borderId="36" xfId="0" applyFont="1" applyBorder="1" applyAlignment="1">
      <alignment horizontal="center" vertical="center"/>
    </xf>
    <xf numFmtId="0" fontId="0" fillId="0" borderId="30" xfId="0" applyBorder="1" applyAlignment="1">
      <alignment horizontal="center"/>
    </xf>
    <xf numFmtId="0" fontId="4" fillId="8" borderId="35" xfId="0" applyFont="1" applyFill="1" applyBorder="1" applyAlignment="1"/>
    <xf numFmtId="0" fontId="4" fillId="8" borderId="54" xfId="0" applyFont="1" applyFill="1" applyBorder="1" applyAlignment="1"/>
    <xf numFmtId="1" fontId="26" fillId="0" borderId="36" xfId="0" applyNumberFormat="1" applyFont="1" applyBorder="1" applyAlignment="1">
      <alignment horizontal="center" vertical="center"/>
    </xf>
    <xf numFmtId="1" fontId="17" fillId="0" borderId="11" xfId="0" applyNumberFormat="1" applyFont="1" applyBorder="1" applyAlignment="1">
      <alignment horizontal="center" vertical="center" wrapText="1"/>
    </xf>
    <xf numFmtId="0" fontId="11" fillId="13" borderId="6"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9" fillId="2" borderId="14" xfId="0" applyFont="1" applyFill="1" applyBorder="1" applyAlignment="1">
      <alignment horizontal="center" vertical="center" wrapText="1"/>
    </xf>
    <xf numFmtId="1" fontId="19" fillId="2" borderId="12" xfId="0" applyNumberFormat="1" applyFont="1" applyFill="1" applyBorder="1" applyAlignment="1">
      <alignment horizontal="center" vertical="center" wrapText="1"/>
    </xf>
    <xf numFmtId="1" fontId="19" fillId="8" borderId="11" xfId="0" applyNumberFormat="1" applyFont="1" applyFill="1" applyBorder="1" applyAlignment="1">
      <alignment horizontal="center" vertical="center" wrapText="1"/>
    </xf>
    <xf numFmtId="1" fontId="10" fillId="0" borderId="40" xfId="0" applyNumberFormat="1" applyFont="1" applyBorder="1" applyAlignment="1">
      <alignment horizontal="center" vertical="center" wrapText="1"/>
    </xf>
    <xf numFmtId="1" fontId="10" fillId="0" borderId="37" xfId="0" applyNumberFormat="1" applyFont="1" applyBorder="1" applyAlignment="1">
      <alignment horizontal="center" vertical="center" wrapText="1"/>
    </xf>
    <xf numFmtId="0" fontId="0" fillId="5" borderId="14" xfId="0" applyFill="1" applyBorder="1" applyAlignment="1">
      <alignment horizontal="center" vertical="center"/>
    </xf>
    <xf numFmtId="1" fontId="19" fillId="2" borderId="29" xfId="0" applyNumberFormat="1" applyFont="1" applyFill="1" applyBorder="1" applyAlignment="1">
      <alignment horizontal="center" vertical="center" wrapText="1"/>
    </xf>
    <xf numFmtId="1" fontId="0" fillId="2" borderId="29" xfId="1" applyNumberFormat="1" applyFont="1" applyFill="1" applyBorder="1" applyAlignment="1">
      <alignment horizontal="center" vertical="center"/>
    </xf>
    <xf numFmtId="1" fontId="17" fillId="0" borderId="40" xfId="0" applyNumberFormat="1" applyFont="1" applyBorder="1" applyAlignment="1">
      <alignment horizontal="center" vertical="center" wrapText="1"/>
    </xf>
    <xf numFmtId="0" fontId="5" fillId="9" borderId="46" xfId="0" applyFont="1" applyFill="1" applyBorder="1" applyAlignment="1">
      <alignment vertical="center"/>
    </xf>
    <xf numFmtId="0" fontId="12" fillId="0" borderId="30" xfId="0" applyFont="1" applyFill="1" applyBorder="1" applyAlignment="1">
      <alignment horizontal="center" vertical="top" wrapText="1"/>
    </xf>
    <xf numFmtId="1" fontId="2" fillId="2" borderId="62" xfId="0" applyNumberFormat="1" applyFont="1" applyFill="1" applyBorder="1" applyAlignment="1">
      <alignment vertical="center" wrapText="1"/>
    </xf>
    <xf numFmtId="0" fontId="0" fillId="2" borderId="16" xfId="0" applyFill="1" applyBorder="1" applyAlignment="1">
      <alignment horizontal="center" vertical="center"/>
    </xf>
    <xf numFmtId="0" fontId="2" fillId="2" borderId="37" xfId="0" applyFont="1" applyFill="1" applyBorder="1" applyAlignment="1">
      <alignment horizontal="center" vertical="center"/>
    </xf>
    <xf numFmtId="0" fontId="13" fillId="0" borderId="23" xfId="0" applyFont="1" applyBorder="1" applyAlignment="1">
      <alignment horizontal="center" vertical="center" wrapText="1"/>
    </xf>
    <xf numFmtId="0" fontId="0" fillId="0" borderId="0" xfId="0" applyFill="1" applyBorder="1" applyAlignment="1">
      <alignment horizontal="center" wrapText="1"/>
    </xf>
    <xf numFmtId="0" fontId="0" fillId="0" borderId="0" xfId="0" applyFill="1" applyBorder="1" applyAlignment="1" applyProtection="1">
      <alignment horizontal="center" wrapText="1"/>
      <protection locked="0"/>
    </xf>
    <xf numFmtId="0" fontId="13" fillId="0" borderId="13" xfId="0" applyFont="1" applyBorder="1" applyAlignment="1">
      <alignment horizontal="left" vertical="center" wrapText="1"/>
    </xf>
    <xf numFmtId="0" fontId="0" fillId="2" borderId="1" xfId="0" applyFill="1" applyBorder="1" applyAlignment="1">
      <alignment wrapText="1"/>
    </xf>
    <xf numFmtId="0" fontId="0" fillId="2" borderId="29" xfId="0" applyFill="1" applyBorder="1" applyAlignment="1">
      <alignment wrapText="1"/>
    </xf>
    <xf numFmtId="0" fontId="0" fillId="0" borderId="36" xfId="0" applyBorder="1" applyAlignment="1">
      <alignment horizontal="center" vertical="center"/>
    </xf>
    <xf numFmtId="0" fontId="5" fillId="9" borderId="46" xfId="0" applyFont="1" applyFill="1" applyBorder="1" applyAlignment="1"/>
    <xf numFmtId="0" fontId="10" fillId="13" borderId="13" xfId="0" applyFont="1" applyFill="1" applyBorder="1" applyAlignment="1">
      <alignment horizontal="left" vertical="center" wrapText="1"/>
    </xf>
    <xf numFmtId="1" fontId="27" fillId="2" borderId="1" xfId="0" applyNumberFormat="1" applyFont="1" applyFill="1" applyBorder="1" applyAlignment="1">
      <alignment horizontal="center" wrapText="1"/>
    </xf>
    <xf numFmtId="1" fontId="18" fillId="11" borderId="17" xfId="0" applyNumberFormat="1" applyFont="1" applyFill="1" applyBorder="1" applyAlignment="1">
      <alignment horizontal="center" vertical="center" wrapText="1"/>
    </xf>
    <xf numFmtId="0" fontId="17" fillId="0" borderId="11" xfId="0" applyFont="1" applyBorder="1" applyAlignment="1">
      <alignment horizontal="center" vertical="center" wrapText="1"/>
    </xf>
    <xf numFmtId="1" fontId="17" fillId="0" borderId="17" xfId="0" applyNumberFormat="1" applyFont="1" applyBorder="1" applyAlignment="1">
      <alignment horizontal="center" vertical="center" wrapText="1"/>
    </xf>
    <xf numFmtId="0" fontId="5" fillId="3" borderId="0" xfId="0" applyFont="1" applyFill="1" applyBorder="1" applyAlignment="1">
      <alignment horizontal="left"/>
    </xf>
    <xf numFmtId="1" fontId="3" fillId="10" borderId="36" xfId="0" applyNumberFormat="1" applyFont="1" applyFill="1" applyBorder="1" applyAlignment="1" applyProtection="1">
      <alignment horizontal="center" vertical="center" wrapText="1"/>
      <protection locked="0"/>
    </xf>
    <xf numFmtId="0" fontId="0" fillId="2" borderId="11" xfId="0" applyFill="1" applyBorder="1" applyAlignment="1">
      <alignment vertical="center" wrapText="1"/>
    </xf>
    <xf numFmtId="0" fontId="4" fillId="0" borderId="39" xfId="0" applyFont="1" applyBorder="1" applyAlignment="1">
      <alignment horizontal="center" wrapText="1"/>
    </xf>
    <xf numFmtId="1" fontId="3" fillId="10" borderId="37" xfId="0" applyNumberFormat="1" applyFont="1" applyFill="1" applyBorder="1" applyAlignment="1" applyProtection="1">
      <alignment horizontal="center" vertical="center" wrapText="1"/>
      <protection locked="0"/>
    </xf>
    <xf numFmtId="0" fontId="3" fillId="0" borderId="12" xfId="0" applyFont="1" applyFill="1" applyBorder="1" applyAlignment="1">
      <alignment horizontal="center" vertical="center" wrapText="1"/>
    </xf>
    <xf numFmtId="1" fontId="3" fillId="11" borderId="1" xfId="0" applyNumberFormat="1" applyFont="1" applyFill="1" applyBorder="1" applyAlignment="1" applyProtection="1">
      <alignment horizontal="center" vertical="center" wrapText="1"/>
      <protection locked="0"/>
    </xf>
    <xf numFmtId="1" fontId="3" fillId="11" borderId="29" xfId="0" applyNumberFormat="1" applyFont="1" applyFill="1" applyBorder="1" applyAlignment="1" applyProtection="1">
      <alignment horizontal="center" vertical="center" wrapText="1"/>
      <protection locked="0"/>
    </xf>
    <xf numFmtId="1" fontId="3" fillId="0" borderId="36" xfId="0" applyNumberFormat="1" applyFont="1" applyFill="1" applyBorder="1" applyAlignment="1" applyProtection="1">
      <alignment horizontal="center" vertical="center" wrapText="1"/>
      <protection locked="0"/>
    </xf>
    <xf numFmtId="1" fontId="3" fillId="0" borderId="37" xfId="0" applyNumberFormat="1" applyFont="1" applyFill="1" applyBorder="1" applyAlignment="1" applyProtection="1">
      <alignment horizontal="center" vertical="center" wrapText="1"/>
      <protection locked="0"/>
    </xf>
    <xf numFmtId="1" fontId="3" fillId="8" borderId="50" xfId="0" applyNumberFormat="1" applyFont="1" applyFill="1" applyBorder="1" applyAlignment="1" applyProtection="1">
      <alignment horizontal="center" vertical="center" wrapText="1"/>
      <protection locked="0"/>
    </xf>
    <xf numFmtId="1" fontId="3" fillId="0" borderId="50" xfId="0" applyNumberFormat="1" applyFont="1" applyFill="1" applyBorder="1" applyAlignment="1" applyProtection="1">
      <alignment horizontal="center" vertical="center" wrapText="1"/>
      <protection locked="0"/>
    </xf>
    <xf numFmtId="9" fontId="30" fillId="11" borderId="12" xfId="1" applyFont="1" applyFill="1" applyBorder="1" applyAlignment="1" applyProtection="1">
      <alignment horizontal="center" vertical="center"/>
      <protection locked="0"/>
    </xf>
    <xf numFmtId="9" fontId="30" fillId="11" borderId="1" xfId="1" applyFont="1" applyFill="1" applyBorder="1" applyAlignment="1" applyProtection="1">
      <alignment horizontal="center" vertical="center"/>
      <protection locked="0"/>
    </xf>
    <xf numFmtId="1" fontId="4" fillId="11" borderId="14" xfId="0" applyNumberFormat="1" applyFont="1" applyFill="1" applyBorder="1" applyAlignment="1" applyProtection="1">
      <alignment horizontal="center" vertical="center"/>
      <protection locked="0"/>
    </xf>
    <xf numFmtId="9" fontId="30" fillId="11" borderId="32" xfId="1" applyFont="1" applyFill="1" applyBorder="1" applyAlignment="1" applyProtection="1">
      <alignment horizontal="center" vertical="center"/>
      <protection locked="0"/>
    </xf>
    <xf numFmtId="9" fontId="30" fillId="11" borderId="29" xfId="1" applyFont="1" applyFill="1" applyBorder="1" applyAlignment="1" applyProtection="1">
      <alignment horizontal="center" vertical="center"/>
      <protection locked="0"/>
    </xf>
    <xf numFmtId="1" fontId="4" fillId="11" borderId="47" xfId="0" applyNumberFormat="1" applyFont="1" applyFill="1" applyBorder="1" applyAlignment="1" applyProtection="1">
      <alignment horizontal="center" vertical="center"/>
      <protection locked="0"/>
    </xf>
    <xf numFmtId="9" fontId="30" fillId="8" borderId="35" xfId="1" applyFont="1" applyFill="1" applyBorder="1" applyAlignment="1" applyProtection="1">
      <alignment horizontal="center" vertical="center"/>
      <protection locked="0"/>
    </xf>
    <xf numFmtId="9" fontId="30" fillId="8" borderId="36" xfId="1" applyFont="1" applyFill="1" applyBorder="1" applyAlignment="1" applyProtection="1">
      <alignment horizontal="center" vertical="center"/>
      <protection locked="0"/>
    </xf>
    <xf numFmtId="1" fontId="4" fillId="8" borderId="37" xfId="0" applyNumberFormat="1" applyFont="1" applyFill="1" applyBorder="1" applyAlignment="1" applyProtection="1">
      <alignment horizontal="center" vertical="center"/>
      <protection locked="0"/>
    </xf>
    <xf numFmtId="9" fontId="30" fillId="8" borderId="59" xfId="1" applyFont="1" applyFill="1" applyBorder="1" applyAlignment="1" applyProtection="1">
      <alignment horizontal="center" vertical="center"/>
      <protection locked="0"/>
    </xf>
    <xf numFmtId="9" fontId="30" fillId="8" borderId="50" xfId="1" applyFont="1" applyFill="1" applyBorder="1" applyAlignment="1" applyProtection="1">
      <alignment horizontal="center" vertical="center"/>
      <protection locked="0"/>
    </xf>
    <xf numFmtId="1" fontId="4" fillId="8" borderId="61" xfId="0" applyNumberFormat="1" applyFont="1" applyFill="1" applyBorder="1" applyAlignment="1" applyProtection="1">
      <alignment horizontal="center" vertical="center"/>
      <protection locked="0"/>
    </xf>
    <xf numFmtId="0" fontId="7" fillId="0" borderId="15" xfId="0" applyFont="1" applyBorder="1" applyAlignment="1">
      <alignment wrapText="1"/>
    </xf>
    <xf numFmtId="1" fontId="10" fillId="2" borderId="16" xfId="0" applyNumberFormat="1" applyFont="1" applyFill="1" applyBorder="1" applyAlignment="1">
      <alignment horizontal="center" vertical="center" wrapText="1"/>
    </xf>
    <xf numFmtId="1" fontId="10" fillId="0" borderId="22" xfId="0" applyNumberFormat="1" applyFont="1" applyFill="1" applyBorder="1" applyAlignment="1">
      <alignment horizontal="center" vertical="center"/>
    </xf>
    <xf numFmtId="1" fontId="17" fillId="0" borderId="16" xfId="0" applyNumberFormat="1" applyFont="1" applyFill="1" applyBorder="1" applyAlignment="1">
      <alignment horizontal="center" vertical="center"/>
    </xf>
    <xf numFmtId="1" fontId="10" fillId="2" borderId="16" xfId="0" applyNumberFormat="1" applyFont="1" applyFill="1" applyBorder="1" applyAlignment="1">
      <alignment horizontal="center" vertical="center"/>
    </xf>
    <xf numFmtId="0" fontId="11" fillId="2" borderId="16" xfId="0" applyFont="1" applyFill="1" applyBorder="1" applyAlignment="1">
      <alignment horizontal="center" vertical="center"/>
    </xf>
    <xf numFmtId="0" fontId="0" fillId="12" borderId="9" xfId="0" applyFill="1" applyBorder="1" applyAlignment="1">
      <alignment horizontal="center" vertical="center" wrapText="1"/>
    </xf>
    <xf numFmtId="0" fontId="0" fillId="12" borderId="10" xfId="0" applyFill="1" applyBorder="1" applyAlignment="1">
      <alignment horizontal="center" vertical="center" wrapText="1"/>
    </xf>
    <xf numFmtId="0" fontId="0" fillId="0" borderId="36" xfId="0" applyFill="1" applyBorder="1" applyAlignment="1">
      <alignment horizontal="center" vertical="center" wrapText="1"/>
    </xf>
    <xf numFmtId="0" fontId="0" fillId="0" borderId="37" xfId="0" applyFill="1" applyBorder="1" applyAlignment="1">
      <alignment horizontal="center" vertical="center" wrapText="1"/>
    </xf>
    <xf numFmtId="0" fontId="0" fillId="0" borderId="30" xfId="0" applyBorder="1" applyAlignment="1">
      <alignment vertical="center" wrapText="1"/>
    </xf>
    <xf numFmtId="0" fontId="17" fillId="0" borderId="13" xfId="0" applyFont="1" applyBorder="1" applyAlignment="1">
      <alignment vertical="center" wrapText="1"/>
    </xf>
    <xf numFmtId="1" fontId="22" fillId="0" borderId="15" xfId="0" applyNumberFormat="1" applyFont="1" applyBorder="1" applyAlignment="1">
      <alignment horizontal="center" vertical="center" wrapText="1"/>
    </xf>
    <xf numFmtId="1" fontId="7" fillId="2" borderId="16" xfId="0" applyNumberFormat="1" applyFont="1" applyFill="1" applyBorder="1" applyAlignment="1">
      <alignment horizontal="center" vertical="center" wrapText="1"/>
    </xf>
    <xf numFmtId="1" fontId="26" fillId="2" borderId="29" xfId="0" applyNumberFormat="1" applyFont="1" applyFill="1" applyBorder="1" applyAlignment="1">
      <alignment horizontal="center" vertical="center" wrapText="1"/>
    </xf>
    <xf numFmtId="0" fontId="0" fillId="0" borderId="13" xfId="0" applyBorder="1" applyAlignment="1">
      <alignment horizontal="center" wrapText="1"/>
    </xf>
    <xf numFmtId="1" fontId="26" fillId="10" borderId="1" xfId="0" applyNumberFormat="1" applyFont="1" applyFill="1" applyBorder="1" applyAlignment="1">
      <alignment horizontal="center" vertical="center"/>
    </xf>
    <xf numFmtId="1" fontId="26" fillId="10" borderId="29" xfId="0" applyNumberFormat="1" applyFont="1" applyFill="1" applyBorder="1" applyAlignment="1">
      <alignment horizontal="center" vertical="center"/>
    </xf>
    <xf numFmtId="1" fontId="17" fillId="0" borderId="29" xfId="0" applyNumberFormat="1" applyFont="1" applyFill="1" applyBorder="1" applyAlignment="1">
      <alignment horizontal="center" vertical="center" wrapText="1"/>
    </xf>
    <xf numFmtId="1" fontId="19" fillId="2" borderId="32" xfId="0" applyNumberFormat="1" applyFont="1" applyFill="1" applyBorder="1" applyAlignment="1">
      <alignment horizontal="center" vertical="center" wrapText="1"/>
    </xf>
    <xf numFmtId="1" fontId="19" fillId="2" borderId="47" xfId="0" applyNumberFormat="1" applyFont="1" applyFill="1" applyBorder="1" applyAlignment="1">
      <alignment horizontal="center" vertical="center" wrapText="1"/>
    </xf>
    <xf numFmtId="1" fontId="2" fillId="2" borderId="17" xfId="0" applyNumberFormat="1" applyFont="1" applyFill="1" applyBorder="1" applyAlignment="1">
      <alignment vertical="center" wrapText="1"/>
    </xf>
    <xf numFmtId="1" fontId="2" fillId="2" borderId="16" xfId="0" applyNumberFormat="1" applyFont="1" applyFill="1" applyBorder="1" applyAlignment="1">
      <alignment vertical="center" wrapText="1"/>
    </xf>
    <xf numFmtId="0" fontId="12" fillId="2" borderId="14" xfId="0" applyFont="1" applyFill="1" applyBorder="1" applyAlignment="1">
      <alignment horizontal="center" vertical="center"/>
    </xf>
    <xf numFmtId="0" fontId="0" fillId="2" borderId="22" xfId="0" applyFill="1" applyBorder="1" applyAlignment="1">
      <alignment horizontal="center" vertical="center"/>
    </xf>
    <xf numFmtId="0" fontId="0" fillId="0" borderId="29" xfId="0" applyBorder="1" applyAlignment="1">
      <alignment horizontal="center" vertical="center" wrapText="1"/>
    </xf>
    <xf numFmtId="1" fontId="0" fillId="2" borderId="29" xfId="0" applyNumberFormat="1" applyFill="1" applyBorder="1" applyAlignment="1">
      <alignment vertical="center"/>
    </xf>
    <xf numFmtId="0" fontId="0" fillId="2" borderId="33" xfId="0" applyFill="1" applyBorder="1" applyAlignment="1">
      <alignment vertical="center" wrapText="1"/>
    </xf>
    <xf numFmtId="0" fontId="2" fillId="0" borderId="40" xfId="0" applyFont="1" applyFill="1" applyBorder="1" applyAlignment="1">
      <alignment horizontal="center" vertical="center" wrapText="1"/>
    </xf>
    <xf numFmtId="0" fontId="12" fillId="0" borderId="14" xfId="0" applyFont="1" applyBorder="1" applyAlignment="1">
      <alignment horizontal="center" vertical="center" wrapText="1"/>
    </xf>
    <xf numFmtId="1" fontId="0" fillId="2" borderId="14" xfId="0" applyNumberFormat="1" applyFill="1" applyBorder="1" applyAlignment="1">
      <alignment horizontal="center" vertical="center" wrapText="1"/>
    </xf>
    <xf numFmtId="1" fontId="12" fillId="2" borderId="29" xfId="0" applyNumberFormat="1" applyFont="1" applyFill="1" applyBorder="1" applyAlignment="1">
      <alignment horizontal="center" vertical="center" wrapText="1"/>
    </xf>
    <xf numFmtId="1" fontId="0" fillId="2" borderId="29" xfId="0" applyNumberFormat="1" applyFill="1" applyBorder="1" applyAlignment="1">
      <alignment horizontal="center" vertical="center" wrapText="1"/>
    </xf>
    <xf numFmtId="1" fontId="0" fillId="2" borderId="47" xfId="0" applyNumberFormat="1" applyFill="1" applyBorder="1" applyAlignment="1">
      <alignment horizontal="center" vertical="center" wrapText="1"/>
    </xf>
    <xf numFmtId="1" fontId="11" fillId="0" borderId="37" xfId="0" applyNumberFormat="1" applyFont="1" applyBorder="1" applyAlignment="1">
      <alignment horizontal="center" vertical="center" wrapText="1"/>
    </xf>
    <xf numFmtId="0" fontId="0" fillId="0" borderId="39" xfId="0" applyBorder="1" applyAlignment="1">
      <alignment horizontal="center" wrapText="1"/>
    </xf>
    <xf numFmtId="0" fontId="62" fillId="13" borderId="73" xfId="0" applyFont="1" applyFill="1" applyBorder="1" applyAlignment="1">
      <alignment horizontal="center" vertical="center" wrapText="1"/>
    </xf>
    <xf numFmtId="0" fontId="62" fillId="13" borderId="74" xfId="0" applyFont="1" applyFill="1" applyBorder="1" applyAlignment="1">
      <alignment horizontal="center" vertical="center" wrapText="1"/>
    </xf>
    <xf numFmtId="0" fontId="62" fillId="13" borderId="74" xfId="0" applyFont="1" applyFill="1" applyBorder="1" applyAlignment="1">
      <alignment vertical="center" wrapText="1"/>
    </xf>
    <xf numFmtId="0" fontId="24" fillId="0" borderId="9" xfId="0" applyFont="1" applyBorder="1" applyAlignment="1">
      <alignment horizontal="center" vertical="center" wrapText="1"/>
    </xf>
    <xf numFmtId="0" fontId="24" fillId="0" borderId="9" xfId="0" applyFont="1" applyBorder="1" applyAlignment="1">
      <alignment vertical="center" wrapText="1"/>
    </xf>
    <xf numFmtId="0" fontId="24" fillId="0" borderId="9" xfId="0" applyFont="1" applyBorder="1"/>
    <xf numFmtId="0" fontId="24" fillId="0" borderId="16" xfId="0" applyFont="1" applyBorder="1" applyAlignment="1">
      <alignment horizontal="center" vertical="center" wrapText="1"/>
    </xf>
    <xf numFmtId="0" fontId="24" fillId="0" borderId="52" xfId="0" applyFont="1" applyBorder="1"/>
    <xf numFmtId="0" fontId="24" fillId="0" borderId="12" xfId="0" applyFont="1" applyBorder="1"/>
    <xf numFmtId="0" fontId="24" fillId="0" borderId="2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38" xfId="0" applyFont="1" applyBorder="1"/>
    <xf numFmtId="0" fontId="24" fillId="0" borderId="11" xfId="0" applyFont="1" applyBorder="1"/>
    <xf numFmtId="0" fontId="24" fillId="0" borderId="8" xfId="0" applyFont="1" applyBorder="1"/>
    <xf numFmtId="0" fontId="24" fillId="0" borderId="10" xfId="0" applyFont="1" applyBorder="1"/>
    <xf numFmtId="0" fontId="24" fillId="0" borderId="13" xfId="0" applyFont="1" applyBorder="1"/>
    <xf numFmtId="0" fontId="24" fillId="0" borderId="14" xfId="0" applyFont="1" applyBorder="1"/>
    <xf numFmtId="0" fontId="24" fillId="0" borderId="39" xfId="0" applyFont="1" applyBorder="1" applyAlignment="1">
      <alignment horizontal="center" vertical="center" wrapText="1"/>
    </xf>
    <xf numFmtId="0" fontId="24" fillId="0" borderId="29" xfId="0" applyFont="1" applyBorder="1" applyAlignment="1">
      <alignment vertical="center" wrapText="1"/>
    </xf>
    <xf numFmtId="0" fontId="24" fillId="0" borderId="29"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32" xfId="0" applyFont="1" applyBorder="1"/>
    <xf numFmtId="0" fontId="24" fillId="0" borderId="29" xfId="0" applyFont="1" applyBorder="1"/>
    <xf numFmtId="0" fontId="24" fillId="0" borderId="33" xfId="0" applyFont="1" applyBorder="1"/>
    <xf numFmtId="0" fontId="24" fillId="0" borderId="39" xfId="0" applyFont="1" applyBorder="1"/>
    <xf numFmtId="0" fontId="24" fillId="0" borderId="47" xfId="0" applyFont="1" applyBorder="1"/>
    <xf numFmtId="0" fontId="24" fillId="0" borderId="48" xfId="0" applyFont="1" applyBorder="1" applyAlignment="1">
      <alignment vertical="center" wrapText="1"/>
    </xf>
    <xf numFmtId="0" fontId="40" fillId="0" borderId="36" xfId="0" applyFont="1" applyBorder="1" applyAlignment="1">
      <alignment vertical="center" wrapText="1"/>
    </xf>
    <xf numFmtId="0" fontId="40" fillId="0" borderId="36" xfId="0" applyFont="1" applyBorder="1" applyAlignment="1">
      <alignment horizontal="center" vertical="center" wrapText="1"/>
    </xf>
    <xf numFmtId="0" fontId="40" fillId="0" borderId="37" xfId="0" applyFont="1" applyBorder="1" applyAlignment="1">
      <alignment horizontal="center" vertical="center" wrapText="1"/>
    </xf>
    <xf numFmtId="0" fontId="24" fillId="0" borderId="35" xfId="0" applyFont="1" applyBorder="1"/>
    <xf numFmtId="0" fontId="24" fillId="0" borderId="36" xfId="0" applyFont="1" applyBorder="1"/>
    <xf numFmtId="0" fontId="24" fillId="0" borderId="40" xfId="0" applyFont="1" applyBorder="1"/>
    <xf numFmtId="0" fontId="24" fillId="0" borderId="48" xfId="0" applyFont="1" applyBorder="1"/>
    <xf numFmtId="0" fontId="24" fillId="0" borderId="37" xfId="0" applyFont="1" applyBorder="1"/>
    <xf numFmtId="2" fontId="67" fillId="13" borderId="1" xfId="0" applyNumberFormat="1" applyFont="1" applyFill="1" applyBorder="1" applyAlignment="1" applyProtection="1">
      <alignment horizontal="center" vertical="center" wrapText="1"/>
    </xf>
    <xf numFmtId="2" fontId="67" fillId="13" borderId="1" xfId="0" applyNumberFormat="1" applyFont="1" applyFill="1" applyBorder="1" applyAlignment="1" applyProtection="1">
      <alignment horizontal="center" vertical="center" wrapText="1"/>
      <protection locked="0"/>
    </xf>
    <xf numFmtId="2" fontId="67" fillId="13" borderId="29" xfId="0" applyNumberFormat="1" applyFont="1" applyFill="1" applyBorder="1" applyAlignment="1" applyProtection="1">
      <alignment horizontal="center" vertical="center" wrapText="1"/>
    </xf>
    <xf numFmtId="2" fontId="65" fillId="13" borderId="29" xfId="0" applyNumberFormat="1" applyFont="1" applyFill="1" applyBorder="1" applyAlignment="1" applyProtection="1">
      <alignment horizontal="left" vertical="center" wrapText="1"/>
    </xf>
    <xf numFmtId="2" fontId="66" fillId="13" borderId="0" xfId="0" applyNumberFormat="1" applyFont="1" applyFill="1" applyBorder="1" applyAlignment="1" applyProtection="1">
      <alignment horizontal="left" vertical="center" wrapText="1"/>
    </xf>
    <xf numFmtId="2" fontId="67" fillId="13" borderId="0" xfId="0" applyNumberFormat="1" applyFont="1" applyFill="1" applyBorder="1" applyAlignment="1" applyProtection="1">
      <alignment horizontal="center" vertical="center" wrapText="1"/>
    </xf>
    <xf numFmtId="2" fontId="67" fillId="13" borderId="0" xfId="0" applyNumberFormat="1" applyFont="1" applyFill="1" applyBorder="1" applyAlignment="1" applyProtection="1">
      <alignment horizontal="center" vertical="center" wrapText="1"/>
      <protection locked="0"/>
    </xf>
    <xf numFmtId="2" fontId="68" fillId="13" borderId="0" xfId="0" applyNumberFormat="1" applyFont="1" applyFill="1" applyBorder="1" applyAlignment="1" applyProtection="1">
      <alignment horizontal="center" vertical="top" wrapText="1"/>
    </xf>
    <xf numFmtId="0" fontId="2" fillId="0" borderId="1" xfId="0" applyFont="1" applyFill="1" applyBorder="1"/>
    <xf numFmtId="0" fontId="39" fillId="0" borderId="1" xfId="0" applyFont="1" applyFill="1" applyBorder="1" applyAlignment="1">
      <alignment vertical="center" wrapText="1"/>
    </xf>
    <xf numFmtId="0" fontId="28" fillId="0" borderId="1" xfId="0" applyFont="1" applyFill="1" applyBorder="1" applyAlignment="1">
      <alignment vertical="center" wrapText="1"/>
    </xf>
    <xf numFmtId="0" fontId="0" fillId="14" borderId="0" xfId="0" applyFill="1"/>
    <xf numFmtId="0" fontId="30" fillId="14" borderId="0" xfId="0" applyFont="1" applyFill="1" applyBorder="1" applyAlignment="1">
      <alignment horizontal="left" vertical="center"/>
    </xf>
    <xf numFmtId="0" fontId="30" fillId="14" borderId="0" xfId="0" applyFont="1" applyFill="1" applyBorder="1" applyAlignment="1">
      <alignment horizontal="left" vertical="center" wrapText="1"/>
    </xf>
    <xf numFmtId="0" fontId="4" fillId="14" borderId="0" xfId="0" applyFont="1" applyFill="1" applyBorder="1" applyAlignment="1">
      <alignment horizontal="left" vertical="center"/>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30" fillId="14" borderId="0"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14" borderId="0" xfId="0" applyFont="1" applyFill="1" applyBorder="1" applyAlignment="1">
      <alignment horizontal="left" vertical="center" wrapText="1"/>
    </xf>
    <xf numFmtId="1" fontId="19" fillId="2" borderId="1" xfId="0" applyNumberFormat="1" applyFont="1" applyFill="1" applyBorder="1" applyAlignment="1" applyProtection="1">
      <alignment horizontal="center" vertical="center" wrapText="1"/>
      <protection locked="0"/>
    </xf>
    <xf numFmtId="0" fontId="0" fillId="2" borderId="1" xfId="0" applyFill="1" applyBorder="1" applyAlignment="1" applyProtection="1">
      <alignment horizontal="center"/>
      <protection locked="0"/>
    </xf>
    <xf numFmtId="9" fontId="0" fillId="0" borderId="29" xfId="1" applyFont="1" applyFill="1" applyBorder="1" applyAlignment="1">
      <alignment horizontal="center" vertical="center"/>
    </xf>
    <xf numFmtId="0" fontId="0" fillId="0" borderId="1" xfId="0" applyFill="1" applyBorder="1" applyAlignment="1">
      <alignment horizontal="center" vertical="center" wrapText="1"/>
    </xf>
    <xf numFmtId="1" fontId="27" fillId="2" borderId="1" xfId="0" applyNumberFormat="1" applyFont="1" applyFill="1" applyBorder="1" applyAlignment="1" applyProtection="1">
      <alignment horizontal="center" vertical="center" wrapText="1"/>
      <protection locked="0"/>
    </xf>
    <xf numFmtId="9" fontId="18" fillId="2" borderId="1" xfId="1" applyFont="1" applyFill="1" applyBorder="1" applyAlignment="1" applyProtection="1">
      <alignment horizontal="center" vertical="center"/>
      <protection locked="0"/>
    </xf>
    <xf numFmtId="1" fontId="19" fillId="2" borderId="1" xfId="0" applyNumberFormat="1" applyFont="1" applyFill="1" applyBorder="1" applyAlignment="1" applyProtection="1">
      <alignment horizontal="center" vertical="center"/>
      <protection locked="0"/>
    </xf>
    <xf numFmtId="1" fontId="17" fillId="0" borderId="1" xfId="0" applyNumberFormat="1" applyFont="1" applyFill="1" applyBorder="1" applyAlignment="1">
      <alignment horizontal="center" vertical="center"/>
    </xf>
    <xf numFmtId="1" fontId="18" fillId="2" borderId="1" xfId="0" applyNumberFormat="1" applyFont="1" applyFill="1" applyBorder="1" applyAlignment="1" applyProtection="1">
      <alignment horizontal="center" vertical="center"/>
      <protection locked="0"/>
    </xf>
    <xf numFmtId="0" fontId="69" fillId="0" borderId="0" xfId="0" applyFont="1" applyFill="1" applyBorder="1" applyAlignment="1">
      <alignment horizontal="left" vertical="center" wrapText="1"/>
    </xf>
    <xf numFmtId="0" fontId="69" fillId="14" borderId="0" xfId="0" applyFont="1" applyFill="1" applyBorder="1" applyAlignment="1">
      <alignment horizontal="left" vertical="center"/>
    </xf>
    <xf numFmtId="0" fontId="69" fillId="14" borderId="0" xfId="0" applyFont="1" applyFill="1" applyBorder="1" applyAlignment="1">
      <alignment horizontal="left" vertical="center" wrapText="1"/>
    </xf>
    <xf numFmtId="0" fontId="0" fillId="0" borderId="1" xfId="0" applyBorder="1" applyAlignment="1">
      <alignment horizontal="center" vertical="center" wrapText="1"/>
    </xf>
    <xf numFmtId="1" fontId="27" fillId="2" borderId="1" xfId="0" applyNumberFormat="1" applyFont="1" applyFill="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0" fillId="2" borderId="1" xfId="0" applyFill="1" applyBorder="1" applyAlignment="1" applyProtection="1">
      <alignment horizontal="center"/>
      <protection locked="0"/>
    </xf>
    <xf numFmtId="0" fontId="0" fillId="0" borderId="1" xfId="0" applyBorder="1" applyAlignment="1"/>
    <xf numFmtId="1" fontId="10" fillId="0" borderId="40" xfId="0" applyNumberFormat="1" applyFont="1" applyFill="1" applyBorder="1" applyAlignment="1">
      <alignment vertical="center"/>
    </xf>
    <xf numFmtId="1" fontId="10" fillId="12" borderId="1" xfId="0" applyNumberFormat="1" applyFont="1" applyFill="1" applyBorder="1" applyAlignment="1" applyProtection="1">
      <alignment vertical="center"/>
      <protection locked="0"/>
    </xf>
    <xf numFmtId="1" fontId="10" fillId="0" borderId="1" xfId="0" applyNumberFormat="1" applyFont="1" applyFill="1" applyBorder="1" applyAlignment="1">
      <alignment vertical="center"/>
    </xf>
    <xf numFmtId="1" fontId="17" fillId="12" borderId="11" xfId="0" applyNumberFormat="1" applyFont="1" applyFill="1" applyBorder="1" applyAlignment="1" applyProtection="1">
      <alignment vertical="center"/>
      <protection locked="0"/>
    </xf>
    <xf numFmtId="1" fontId="17" fillId="0" borderId="11" xfId="0" applyNumberFormat="1" applyFont="1" applyFill="1" applyBorder="1" applyAlignment="1">
      <alignment vertical="center"/>
    </xf>
    <xf numFmtId="1" fontId="17" fillId="12" borderId="17" xfId="0" applyNumberFormat="1" applyFont="1" applyFill="1" applyBorder="1" applyAlignment="1" applyProtection="1">
      <protection locked="0"/>
    </xf>
    <xf numFmtId="0" fontId="11" fillId="0" borderId="1" xfId="0" applyFont="1" applyBorder="1"/>
    <xf numFmtId="0" fontId="10" fillId="0" borderId="5" xfId="0" applyFont="1" applyFill="1" applyBorder="1" applyAlignment="1">
      <alignment vertical="center" wrapText="1"/>
    </xf>
    <xf numFmtId="0" fontId="10" fillId="0" borderId="6" xfId="0" applyFont="1" applyFill="1" applyBorder="1" applyAlignment="1">
      <alignment vertical="center" wrapText="1"/>
    </xf>
    <xf numFmtId="0" fontId="10" fillId="0" borderId="12" xfId="0" applyFont="1" applyFill="1" applyBorder="1" applyAlignment="1">
      <alignment vertical="center" wrapText="1"/>
    </xf>
    <xf numFmtId="1" fontId="10" fillId="0" borderId="40" xfId="0" applyNumberFormat="1" applyFont="1" applyBorder="1" applyAlignment="1">
      <alignment vertical="center"/>
    </xf>
    <xf numFmtId="1" fontId="2" fillId="0" borderId="33" xfId="0" applyNumberFormat="1" applyFont="1" applyBorder="1" applyAlignment="1">
      <alignment vertical="center"/>
    </xf>
    <xf numFmtId="1" fontId="2" fillId="0" borderId="32" xfId="0" applyNumberFormat="1" applyFont="1" applyBorder="1" applyAlignment="1">
      <alignment vertical="center"/>
    </xf>
    <xf numFmtId="1" fontId="2" fillId="0" borderId="38" xfId="0" applyNumberFormat="1" applyFont="1" applyBorder="1" applyAlignment="1">
      <alignment vertical="center"/>
    </xf>
    <xf numFmtId="1" fontId="2" fillId="0" borderId="52" xfId="0" applyNumberFormat="1" applyFont="1" applyBorder="1" applyAlignment="1">
      <alignment vertical="center"/>
    </xf>
    <xf numFmtId="0" fontId="0" fillId="12" borderId="1" xfId="0" applyFill="1" applyBorder="1" applyAlignment="1" applyProtection="1">
      <protection locked="0"/>
    </xf>
    <xf numFmtId="0" fontId="0" fillId="0" borderId="0" xfId="0" applyFill="1" applyBorder="1" applyAlignment="1"/>
    <xf numFmtId="1" fontId="0" fillId="0" borderId="0" xfId="0" applyNumberFormat="1" applyFill="1" applyBorder="1" applyAlignment="1">
      <alignment horizontal="center" vertical="center" wrapText="1"/>
    </xf>
    <xf numFmtId="0" fontId="0" fillId="0" borderId="0" xfId="0" applyFill="1" applyBorder="1" applyAlignment="1" applyProtection="1">
      <alignment horizontal="center" vertical="center" wrapText="1"/>
      <protection locked="0"/>
    </xf>
    <xf numFmtId="0" fontId="0" fillId="0" borderId="0" xfId="0" applyFill="1" applyBorder="1" applyAlignment="1" applyProtection="1">
      <alignment horizontal="center" vertical="center"/>
      <protection locked="0"/>
    </xf>
    <xf numFmtId="0" fontId="0" fillId="0" borderId="0" xfId="0" applyFill="1" applyBorder="1" applyAlignment="1" applyProtection="1">
      <protection locked="0"/>
    </xf>
    <xf numFmtId="0" fontId="18" fillId="2" borderId="1" xfId="0" applyFont="1" applyFill="1" applyBorder="1" applyAlignment="1">
      <alignment vertical="center" wrapText="1"/>
    </xf>
    <xf numFmtId="0" fontId="4" fillId="5" borderId="5" xfId="0" applyFont="1" applyFill="1" applyBorder="1" applyAlignment="1">
      <alignment vertical="center"/>
    </xf>
    <xf numFmtId="0" fontId="4" fillId="5" borderId="6" xfId="0" applyFont="1" applyFill="1" applyBorder="1" applyAlignment="1">
      <alignment vertical="center"/>
    </xf>
    <xf numFmtId="0" fontId="4" fillId="5" borderId="12" xfId="0" applyFont="1" applyFill="1" applyBorder="1" applyAlignment="1">
      <alignment vertical="center"/>
    </xf>
    <xf numFmtId="0" fontId="37" fillId="0" borderId="1" xfId="0" applyFont="1" applyBorder="1" applyAlignment="1">
      <alignment horizontal="left" vertical="center" wrapText="1" indent="3"/>
    </xf>
    <xf numFmtId="0" fontId="0" fillId="0" borderId="6" xfId="0" applyBorder="1" applyAlignment="1">
      <alignment horizontal="center"/>
    </xf>
    <xf numFmtId="0" fontId="7" fillId="3" borderId="0" xfId="0" applyFont="1" applyFill="1" applyBorder="1" applyAlignment="1">
      <alignment horizontal="center" vertical="center" wrapText="1"/>
    </xf>
    <xf numFmtId="0" fontId="13" fillId="0" borderId="1" xfId="0" applyFont="1" applyBorder="1" applyAlignment="1">
      <alignment horizontal="center" vertical="center" wrapText="1"/>
    </xf>
    <xf numFmtId="0" fontId="14" fillId="0" borderId="11" xfId="0" applyFont="1" applyBorder="1" applyAlignment="1">
      <alignment horizontal="center" vertical="center" wrapText="1"/>
    </xf>
    <xf numFmtId="0" fontId="0" fillId="0" borderId="1" xfId="0" applyBorder="1" applyAlignment="1">
      <alignment horizontal="center" vertical="center" wrapText="1"/>
    </xf>
    <xf numFmtId="0" fontId="12" fillId="0" borderId="1" xfId="0" applyFont="1" applyBorder="1" applyAlignment="1">
      <alignment horizontal="center" vertical="center" wrapText="1"/>
    </xf>
    <xf numFmtId="0" fontId="0" fillId="0" borderId="13" xfId="0" applyBorder="1" applyAlignment="1">
      <alignment horizontal="center" vertical="center" wrapText="1"/>
    </xf>
    <xf numFmtId="1" fontId="18" fillId="2" borderId="1" xfId="0" applyNumberFormat="1" applyFont="1" applyFill="1" applyBorder="1" applyAlignment="1" applyProtection="1">
      <alignment horizontal="center" vertical="center"/>
      <protection locked="0"/>
    </xf>
    <xf numFmtId="0" fontId="16" fillId="0" borderId="1" xfId="0" applyFont="1" applyBorder="1" applyAlignment="1">
      <alignment horizontal="center" vertical="center" wrapText="1"/>
    </xf>
    <xf numFmtId="0" fontId="19" fillId="0" borderId="1" xfId="0" applyFont="1" applyBorder="1" applyAlignment="1">
      <alignment horizontal="center" vertical="center" wrapText="1"/>
    </xf>
    <xf numFmtId="1" fontId="11" fillId="0" borderId="36" xfId="0" applyNumberFormat="1" applyFont="1" applyBorder="1" applyAlignment="1">
      <alignment horizontal="center" vertical="center" wrapText="1"/>
    </xf>
    <xf numFmtId="0" fontId="18" fillId="0" borderId="9" xfId="0" applyFont="1" applyBorder="1" applyAlignment="1">
      <alignment horizontal="center" vertical="center" wrapText="1"/>
    </xf>
    <xf numFmtId="1" fontId="19" fillId="2" borderId="1" xfId="0" applyNumberFormat="1" applyFont="1" applyFill="1" applyBorder="1" applyAlignment="1" applyProtection="1">
      <alignment horizontal="center" vertical="center"/>
      <protection locked="0"/>
    </xf>
    <xf numFmtId="1" fontId="17" fillId="0" borderId="1" xfId="0" applyNumberFormat="1" applyFont="1" applyFill="1" applyBorder="1" applyAlignment="1">
      <alignment horizontal="center" vertical="center"/>
    </xf>
    <xf numFmtId="0" fontId="18" fillId="0" borderId="1" xfId="0" applyFont="1" applyBorder="1" applyAlignment="1">
      <alignment horizontal="center" vertical="center" wrapText="1"/>
    </xf>
    <xf numFmtId="1" fontId="0" fillId="2" borderId="29" xfId="0" applyNumberFormat="1" applyFont="1" applyFill="1" applyBorder="1" applyAlignment="1">
      <alignment horizontal="center"/>
    </xf>
    <xf numFmtId="0" fontId="19" fillId="0" borderId="13" xfId="0" applyFont="1" applyBorder="1" applyAlignment="1">
      <alignment horizontal="left" vertical="center" wrapText="1"/>
    </xf>
    <xf numFmtId="0" fontId="0" fillId="2" borderId="1" xfId="0" applyFill="1" applyBorder="1" applyAlignment="1">
      <alignment horizontal="center" vertical="center" wrapText="1"/>
    </xf>
    <xf numFmtId="0" fontId="0" fillId="2" borderId="29" xfId="0" applyFill="1" applyBorder="1" applyAlignment="1">
      <alignment horizontal="center" vertical="center" wrapText="1"/>
    </xf>
    <xf numFmtId="0" fontId="0" fillId="0" borderId="1" xfId="0" applyFont="1" applyBorder="1" applyAlignment="1">
      <alignment horizontal="center" vertical="center" wrapText="1"/>
    </xf>
    <xf numFmtId="0" fontId="3" fillId="0" borderId="36" xfId="0" applyFont="1" applyBorder="1" applyAlignment="1">
      <alignment horizontal="center" vertical="center"/>
    </xf>
    <xf numFmtId="0" fontId="19" fillId="2" borderId="1" xfId="0" applyFont="1" applyFill="1" applyBorder="1" applyAlignment="1" applyProtection="1">
      <alignment horizontal="center" vertical="center" wrapText="1"/>
      <protection locked="0"/>
    </xf>
    <xf numFmtId="0" fontId="19" fillId="0" borderId="13" xfId="0" applyFont="1" applyBorder="1" applyAlignment="1">
      <alignment horizontal="center" vertical="center" wrapText="1"/>
    </xf>
    <xf numFmtId="0" fontId="0" fillId="0" borderId="1" xfId="0" applyBorder="1" applyAlignment="1">
      <alignment horizontal="center" wrapText="1"/>
    </xf>
    <xf numFmtId="0" fontId="10" fillId="5" borderId="13" xfId="0" applyFont="1" applyFill="1" applyBorder="1" applyAlignment="1">
      <alignment horizontal="left" vertical="center" wrapText="1"/>
    </xf>
    <xf numFmtId="0" fontId="19" fillId="5" borderId="1" xfId="0" applyFont="1" applyFill="1" applyBorder="1" applyAlignment="1">
      <alignment horizontal="center" vertical="center" wrapText="1"/>
    </xf>
    <xf numFmtId="1" fontId="19" fillId="5" borderId="1" xfId="0" applyNumberFormat="1" applyFont="1" applyFill="1" applyBorder="1" applyAlignment="1">
      <alignment horizontal="center" vertical="center" wrapText="1"/>
    </xf>
    <xf numFmtId="1" fontId="19" fillId="8"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1" fontId="13" fillId="0" borderId="29" xfId="0" applyNumberFormat="1" applyFont="1" applyBorder="1" applyAlignment="1">
      <alignment horizontal="center" vertical="center"/>
    </xf>
    <xf numFmtId="1" fontId="13"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1" fontId="16" fillId="0" borderId="36"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9" xfId="0" applyFont="1" applyBorder="1" applyAlignment="1">
      <alignment horizontal="center" vertical="center" wrapText="1"/>
    </xf>
    <xf numFmtId="1" fontId="18" fillId="11" borderId="29" xfId="0" applyNumberFormat="1" applyFont="1" applyFill="1" applyBorder="1" applyAlignment="1">
      <alignment horizontal="center" vertical="center" wrapText="1"/>
    </xf>
    <xf numFmtId="1" fontId="16" fillId="0" borderId="40" xfId="0" applyNumberFormat="1" applyFont="1" applyBorder="1" applyAlignment="1">
      <alignment horizontal="center" vertical="center" wrapText="1"/>
    </xf>
    <xf numFmtId="0" fontId="0" fillId="5" borderId="1" xfId="0" applyFill="1" applyBorder="1" applyAlignment="1">
      <alignment horizontal="center" vertical="center" wrapText="1"/>
    </xf>
    <xf numFmtId="0" fontId="12" fillId="0" borderId="1" xfId="0" applyFont="1" applyFill="1" applyBorder="1" applyAlignment="1">
      <alignment horizontal="center" vertical="center" wrapText="1"/>
    </xf>
    <xf numFmtId="0" fontId="10" fillId="13" borderId="6" xfId="0" applyFont="1" applyFill="1" applyBorder="1" applyAlignment="1">
      <alignment horizontal="center" vertical="center" wrapText="1"/>
    </xf>
    <xf numFmtId="1" fontId="18" fillId="2" borderId="1" xfId="0" applyNumberFormat="1" applyFont="1" applyFill="1" applyBorder="1" applyAlignment="1">
      <alignment horizontal="center" vertical="center"/>
    </xf>
    <xf numFmtId="0" fontId="0" fillId="0" borderId="14" xfId="0" applyFill="1" applyBorder="1" applyAlignment="1">
      <alignment horizontal="center" vertical="center" wrapText="1"/>
    </xf>
    <xf numFmtId="1" fontId="11" fillId="2" borderId="16" xfId="0" applyNumberFormat="1" applyFont="1" applyFill="1" applyBorder="1" applyAlignment="1">
      <alignment horizontal="center" vertical="center"/>
    </xf>
    <xf numFmtId="0" fontId="19" fillId="2" borderId="1" xfId="0" applyFont="1" applyFill="1" applyBorder="1" applyAlignment="1">
      <alignment horizontal="center" vertical="center" wrapText="1"/>
    </xf>
    <xf numFmtId="1" fontId="12" fillId="2" borderId="1" xfId="0" applyNumberFormat="1" applyFont="1" applyFill="1" applyBorder="1" applyAlignment="1">
      <alignment horizontal="center" vertical="center"/>
    </xf>
    <xf numFmtId="0" fontId="10" fillId="5" borderId="13" xfId="0" applyFont="1" applyFill="1" applyBorder="1" applyAlignment="1">
      <alignment horizontal="center" vertical="center" wrapText="1"/>
    </xf>
    <xf numFmtId="0" fontId="10" fillId="5" borderId="1" xfId="0" applyFont="1" applyFill="1" applyBorder="1" applyAlignment="1">
      <alignment horizontal="center" vertical="center" wrapText="1"/>
    </xf>
    <xf numFmtId="1" fontId="18" fillId="2" borderId="1" xfId="0" applyNumberFormat="1" applyFont="1" applyFill="1" applyBorder="1" applyAlignment="1">
      <alignment horizontal="center" vertical="center" wrapText="1"/>
    </xf>
    <xf numFmtId="0" fontId="3" fillId="0" borderId="14" xfId="0" applyFont="1" applyBorder="1" applyAlignment="1">
      <alignment horizontal="center" vertical="center" wrapText="1"/>
    </xf>
    <xf numFmtId="1" fontId="16" fillId="0" borderId="16" xfId="0" applyNumberFormat="1" applyFont="1" applyBorder="1" applyAlignment="1">
      <alignment horizontal="center" vertical="center" wrapText="1"/>
    </xf>
    <xf numFmtId="1" fontId="18" fillId="11" borderId="1" xfId="0" applyNumberFormat="1" applyFont="1" applyFill="1" applyBorder="1" applyAlignment="1">
      <alignment horizontal="center" vertical="center" wrapText="1"/>
    </xf>
    <xf numFmtId="1" fontId="18" fillId="11" borderId="11"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0" fillId="2" borderId="29" xfId="0" applyFill="1" applyBorder="1" applyAlignment="1">
      <alignment horizontal="center" vertical="center"/>
    </xf>
    <xf numFmtId="1" fontId="13" fillId="0" borderId="29" xfId="0" applyNumberFormat="1" applyFont="1" applyBorder="1" applyAlignment="1">
      <alignment horizontal="center" vertical="center" wrapText="1"/>
    </xf>
    <xf numFmtId="0" fontId="0" fillId="0" borderId="0" xfId="0" applyBorder="1" applyAlignment="1">
      <alignment horizontal="center" vertical="center" wrapText="1"/>
    </xf>
    <xf numFmtId="0" fontId="0" fillId="0" borderId="36" xfId="0" applyBorder="1" applyAlignment="1">
      <alignment horizontal="center" vertical="center" wrapText="1"/>
    </xf>
    <xf numFmtId="1" fontId="19" fillId="2" borderId="1" xfId="0" applyNumberFormat="1" applyFont="1" applyFill="1" applyBorder="1" applyAlignment="1">
      <alignment horizontal="center" vertical="center" wrapText="1"/>
    </xf>
    <xf numFmtId="1" fontId="19" fillId="2" borderId="14" xfId="0" applyNumberFormat="1" applyFont="1" applyFill="1" applyBorder="1" applyAlignment="1">
      <alignment horizontal="center" vertical="center" wrapText="1"/>
    </xf>
    <xf numFmtId="1" fontId="19" fillId="2" borderId="16" xfId="0" applyNumberFormat="1" applyFont="1" applyFill="1" applyBorder="1" applyAlignment="1">
      <alignment horizontal="center" vertical="center" wrapText="1"/>
    </xf>
    <xf numFmtId="0" fontId="19" fillId="5" borderId="20" xfId="0" applyFont="1" applyFill="1" applyBorder="1" applyAlignment="1">
      <alignment horizontal="center" vertical="center" wrapText="1"/>
    </xf>
    <xf numFmtId="1" fontId="0" fillId="2" borderId="1" xfId="0" applyNumberFormat="1" applyFont="1" applyFill="1" applyBorder="1" applyAlignment="1">
      <alignment horizontal="center"/>
    </xf>
    <xf numFmtId="1" fontId="0" fillId="0" borderId="1" xfId="0" applyNumberFormat="1" applyFont="1" applyFill="1" applyBorder="1" applyAlignment="1">
      <alignment horizontal="center"/>
    </xf>
    <xf numFmtId="1" fontId="7" fillId="0" borderId="36" xfId="0" applyNumberFormat="1" applyFont="1" applyBorder="1" applyAlignment="1">
      <alignment horizontal="center" vertical="center"/>
    </xf>
    <xf numFmtId="1" fontId="0" fillId="0" borderId="1" xfId="0" applyNumberFormat="1" applyBorder="1" applyAlignment="1">
      <alignment horizontal="center" vertical="center" wrapText="1"/>
    </xf>
    <xf numFmtId="1" fontId="19" fillId="12" borderId="1" xfId="0" applyNumberFormat="1" applyFont="1" applyFill="1" applyBorder="1" applyAlignment="1">
      <alignment horizontal="center" vertical="center"/>
    </xf>
    <xf numFmtId="1" fontId="19" fillId="12" borderId="29" xfId="0" applyNumberFormat="1" applyFont="1" applyFill="1" applyBorder="1" applyAlignment="1">
      <alignment horizontal="center" vertical="center"/>
    </xf>
    <xf numFmtId="1" fontId="27" fillId="13" borderId="1" xfId="0" applyNumberFormat="1" applyFont="1" applyFill="1" applyBorder="1" applyAlignment="1">
      <alignment horizontal="center" vertical="center" wrapText="1"/>
    </xf>
    <xf numFmtId="0" fontId="0" fillId="0" borderId="24" xfId="0" applyFill="1" applyBorder="1" applyAlignment="1">
      <alignment vertical="center" wrapText="1"/>
    </xf>
    <xf numFmtId="1" fontId="4" fillId="2" borderId="11" xfId="0" applyNumberFormat="1" applyFont="1" applyFill="1" applyBorder="1" applyAlignment="1" applyProtection="1">
      <alignment horizontal="center" vertical="center" wrapText="1"/>
      <protection locked="0"/>
    </xf>
    <xf numFmtId="1" fontId="4" fillId="2" borderId="12" xfId="0" applyNumberFormat="1"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10" fillId="0" borderId="6"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0" fillId="5" borderId="11" xfId="0" applyFill="1" applyBorder="1" applyAlignment="1">
      <alignment horizontal="center"/>
    </xf>
    <xf numFmtId="0" fontId="0" fillId="5" borderId="12" xfId="0" applyFill="1" applyBorder="1" applyAlignment="1">
      <alignment horizontal="center"/>
    </xf>
    <xf numFmtId="0" fontId="19" fillId="0" borderId="1" xfId="0" applyFont="1" applyBorder="1" applyAlignment="1">
      <alignment horizontal="center" vertical="center" wrapText="1"/>
    </xf>
    <xf numFmtId="1" fontId="19" fillId="2" borderId="1" xfId="0" applyNumberFormat="1" applyFont="1" applyFill="1" applyBorder="1" applyAlignment="1" applyProtection="1">
      <alignment horizontal="center" vertical="center" wrapText="1"/>
      <protection locked="0"/>
    </xf>
    <xf numFmtId="9" fontId="0" fillId="0" borderId="11" xfId="1" applyFont="1" applyBorder="1" applyAlignment="1">
      <alignment horizontal="center" vertical="center"/>
    </xf>
    <xf numFmtId="9" fontId="0" fillId="0" borderId="12" xfId="1" applyFont="1" applyBorder="1" applyAlignment="1">
      <alignment horizontal="center" vertical="center"/>
    </xf>
    <xf numFmtId="0" fontId="16" fillId="0" borderId="56" xfId="0" applyFont="1" applyBorder="1" applyAlignment="1">
      <alignment horizontal="right" vertical="center" wrapText="1"/>
    </xf>
    <xf numFmtId="0" fontId="16" fillId="0" borderId="54" xfId="0" applyFont="1" applyBorder="1" applyAlignment="1">
      <alignment horizontal="right" vertical="center" wrapText="1"/>
    </xf>
    <xf numFmtId="0" fontId="16" fillId="0" borderId="35" xfId="0" applyFont="1" applyBorder="1" applyAlignment="1">
      <alignment horizontal="right" vertical="center" wrapText="1"/>
    </xf>
    <xf numFmtId="0" fontId="18" fillId="0" borderId="11"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12" xfId="0" applyFont="1" applyFill="1" applyBorder="1" applyAlignment="1">
      <alignment horizontal="center" vertical="center" wrapText="1"/>
    </xf>
    <xf numFmtId="1" fontId="13"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0" fillId="2" borderId="1" xfId="0" applyFill="1" applyBorder="1" applyAlignment="1" applyProtection="1">
      <alignment horizontal="center" vertical="center"/>
      <protection locked="0"/>
    </xf>
    <xf numFmtId="9" fontId="0" fillId="0" borderId="1" xfId="1" applyFont="1" applyFill="1" applyBorder="1" applyAlignment="1">
      <alignment horizontal="center" vertical="center"/>
    </xf>
    <xf numFmtId="0" fontId="0" fillId="0" borderId="11" xfId="0" applyBorder="1" applyAlignment="1">
      <alignment horizontal="center"/>
    </xf>
    <xf numFmtId="0" fontId="0" fillId="0" borderId="6" xfId="0" applyBorder="1" applyAlignment="1">
      <alignment horizontal="center"/>
    </xf>
    <xf numFmtId="1" fontId="12" fillId="0" borderId="1" xfId="0" applyNumberFormat="1" applyFont="1" applyFill="1" applyBorder="1" applyAlignment="1">
      <alignment horizontal="center" vertical="center"/>
    </xf>
    <xf numFmtId="1" fontId="13" fillId="8" borderId="1" xfId="0" applyNumberFormat="1" applyFont="1" applyFill="1" applyBorder="1" applyAlignment="1">
      <alignment horizontal="center" vertical="center" wrapText="1"/>
    </xf>
    <xf numFmtId="1" fontId="11" fillId="8" borderId="1" xfId="0" applyNumberFormat="1" applyFont="1" applyFill="1" applyBorder="1" applyAlignment="1">
      <alignment horizontal="center" vertical="center" wrapText="1"/>
    </xf>
    <xf numFmtId="0" fontId="0" fillId="0" borderId="11" xfId="0" applyBorder="1" applyAlignment="1">
      <alignment horizontal="left" indent="16"/>
    </xf>
    <xf numFmtId="0" fontId="0" fillId="0" borderId="6" xfId="0" applyBorder="1" applyAlignment="1">
      <alignment horizontal="left" indent="16"/>
    </xf>
    <xf numFmtId="0" fontId="0" fillId="0" borderId="12" xfId="0" applyBorder="1" applyAlignment="1">
      <alignment horizontal="left" indent="16"/>
    </xf>
    <xf numFmtId="2" fontId="0" fillId="2" borderId="9" xfId="0" applyNumberFormat="1" applyFill="1" applyBorder="1" applyAlignment="1" applyProtection="1">
      <alignment horizontal="center"/>
      <protection locked="0"/>
    </xf>
    <xf numFmtId="2" fontId="0" fillId="2" borderId="10" xfId="0" applyNumberFormat="1" applyFill="1" applyBorder="1" applyAlignment="1" applyProtection="1">
      <alignment horizontal="center"/>
      <protection locked="0"/>
    </xf>
    <xf numFmtId="0" fontId="4" fillId="0" borderId="11" xfId="0" applyFont="1" applyBorder="1" applyAlignment="1">
      <alignment horizontal="right"/>
    </xf>
    <xf numFmtId="0" fontId="4" fillId="0" borderId="6" xfId="0" applyFont="1" applyBorder="1" applyAlignment="1">
      <alignment horizontal="right"/>
    </xf>
    <xf numFmtId="0" fontId="4" fillId="0" borderId="12" xfId="0" applyFont="1" applyBorder="1" applyAlignment="1">
      <alignment horizontal="right"/>
    </xf>
    <xf numFmtId="2" fontId="0" fillId="0" borderId="9" xfId="0" applyNumberFormat="1" applyFill="1" applyBorder="1" applyAlignment="1">
      <alignment horizontal="center"/>
    </xf>
    <xf numFmtId="2" fontId="0" fillId="0" borderId="10" xfId="0" applyNumberFormat="1" applyFill="1" applyBorder="1" applyAlignment="1">
      <alignment horizontal="center"/>
    </xf>
    <xf numFmtId="0" fontId="0" fillId="0" borderId="9" xfId="0" applyBorder="1" applyAlignment="1">
      <alignment horizontal="left"/>
    </xf>
    <xf numFmtId="0" fontId="0" fillId="0" borderId="11" xfId="0" applyBorder="1" applyAlignment="1">
      <alignment horizontal="left"/>
    </xf>
    <xf numFmtId="0" fontId="0" fillId="0" borderId="6" xfId="0" applyBorder="1" applyAlignment="1">
      <alignment horizontal="left"/>
    </xf>
    <xf numFmtId="0" fontId="0" fillId="0" borderId="12" xfId="0" applyBorder="1" applyAlignment="1">
      <alignment horizontal="left"/>
    </xf>
    <xf numFmtId="0" fontId="5" fillId="0" borderId="0" xfId="0" applyFont="1" applyAlignment="1">
      <alignment horizontal="center"/>
    </xf>
    <xf numFmtId="0" fontId="6" fillId="0" borderId="0" xfId="0" applyFont="1" applyAlignment="1">
      <alignment horizontal="center"/>
    </xf>
    <xf numFmtId="1" fontId="6" fillId="2" borderId="1" xfId="0" applyNumberFormat="1" applyFont="1" applyFill="1" applyBorder="1" applyAlignment="1" applyProtection="1">
      <alignment horizontal="center" vertical="center"/>
      <protection locked="0"/>
    </xf>
    <xf numFmtId="0" fontId="8" fillId="0" borderId="1" xfId="0" applyFont="1" applyBorder="1" applyAlignment="1">
      <alignment horizontal="center" vertical="center"/>
    </xf>
    <xf numFmtId="0" fontId="8" fillId="2" borderId="1" xfId="0" applyFont="1" applyFill="1" applyBorder="1" applyAlignment="1" applyProtection="1">
      <alignment horizontal="center" vertical="center"/>
      <protection locked="0"/>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3" borderId="4" xfId="0" applyFont="1" applyFill="1" applyBorder="1" applyAlignment="1">
      <alignment horizontal="center"/>
    </xf>
    <xf numFmtId="0" fontId="0" fillId="0" borderId="13" xfId="0" applyBorder="1" applyAlignment="1">
      <alignment horizontal="left"/>
    </xf>
    <xf numFmtId="0" fontId="0" fillId="0" borderId="1"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2" fontId="0" fillId="2" borderId="1" xfId="0" applyNumberFormat="1" applyFill="1" applyBorder="1" applyAlignment="1" applyProtection="1">
      <alignment horizontal="center"/>
      <protection locked="0"/>
    </xf>
    <xf numFmtId="2" fontId="0" fillId="2" borderId="14" xfId="0" applyNumberFormat="1" applyFill="1" applyBorder="1" applyAlignment="1" applyProtection="1">
      <alignment horizontal="center"/>
      <protection locked="0"/>
    </xf>
    <xf numFmtId="0" fontId="0" fillId="0" borderId="16" xfId="0" applyBorder="1" applyAlignment="1">
      <alignment horizontal="left" wrapText="1"/>
    </xf>
    <xf numFmtId="2" fontId="0" fillId="2" borderId="33" xfId="0" applyNumberFormat="1" applyFill="1" applyBorder="1" applyAlignment="1" applyProtection="1">
      <alignment horizontal="center" vertical="center"/>
      <protection locked="0"/>
    </xf>
    <xf numFmtId="2" fontId="0" fillId="2" borderId="28" xfId="0" applyNumberFormat="1" applyFill="1" applyBorder="1" applyAlignment="1" applyProtection="1">
      <alignment horizontal="center" vertical="center"/>
      <protection locked="0"/>
    </xf>
    <xf numFmtId="2" fontId="0" fillId="2" borderId="17" xfId="0" applyNumberFormat="1" applyFill="1" applyBorder="1" applyAlignment="1" applyProtection="1">
      <alignment horizontal="center" vertical="center"/>
      <protection locked="0"/>
    </xf>
    <xf numFmtId="2" fontId="0" fillId="2" borderId="18" xfId="0" applyNumberFormat="1" applyFill="1" applyBorder="1" applyAlignment="1" applyProtection="1">
      <alignment horizontal="center" vertical="center"/>
      <protection locked="0"/>
    </xf>
    <xf numFmtId="0" fontId="7" fillId="3" borderId="23"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4" borderId="44" xfId="0" applyFont="1" applyFill="1" applyBorder="1" applyAlignment="1">
      <alignment horizontal="left"/>
    </xf>
    <xf numFmtId="0" fontId="7" fillId="4" borderId="45" xfId="0" applyFont="1" applyFill="1" applyBorder="1" applyAlignment="1">
      <alignment horizontal="left"/>
    </xf>
    <xf numFmtId="0" fontId="7" fillId="4" borderId="49" xfId="0" applyFont="1" applyFill="1" applyBorder="1" applyAlignment="1">
      <alignment horizontal="left"/>
    </xf>
    <xf numFmtId="0" fontId="9" fillId="5" borderId="20" xfId="0" applyFont="1" applyFill="1" applyBorder="1" applyAlignment="1">
      <alignment horizontal="center"/>
    </xf>
    <xf numFmtId="0" fontId="10" fillId="6" borderId="24" xfId="0" applyFont="1" applyFill="1" applyBorder="1" applyAlignment="1">
      <alignment horizontal="center" vertical="center"/>
    </xf>
    <xf numFmtId="0" fontId="10" fillId="6" borderId="25" xfId="0" applyFont="1" applyFill="1" applyBorder="1" applyAlignment="1">
      <alignment horizontal="center" vertical="center"/>
    </xf>
    <xf numFmtId="0" fontId="10" fillId="6" borderId="26" xfId="0" applyFont="1" applyFill="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9" xfId="0" applyBorder="1" applyAlignment="1">
      <alignment horizontal="center" vertical="center"/>
    </xf>
    <xf numFmtId="0" fontId="0" fillId="0" borderId="68" xfId="0" applyBorder="1" applyAlignment="1">
      <alignment horizontal="center" vertical="center"/>
    </xf>
    <xf numFmtId="0" fontId="0" fillId="0" borderId="57" xfId="0" applyBorder="1" applyAlignment="1">
      <alignment horizontal="center" vertical="center"/>
    </xf>
    <xf numFmtId="0" fontId="0" fillId="0" borderId="52" xfId="0" applyBorder="1" applyAlignment="1">
      <alignment horizontal="center" vertical="center"/>
    </xf>
    <xf numFmtId="0" fontId="0" fillId="0" borderId="24" xfId="0" applyFill="1" applyBorder="1" applyAlignment="1">
      <alignment horizontal="center" vertical="center"/>
    </xf>
    <xf numFmtId="0" fontId="0" fillId="0" borderId="65" xfId="0" applyFill="1" applyBorder="1" applyAlignment="1">
      <alignment horizontal="center" vertical="center"/>
    </xf>
    <xf numFmtId="0" fontId="11" fillId="0" borderId="11" xfId="0" applyFont="1" applyBorder="1" applyAlignment="1">
      <alignment horizontal="center" vertical="center"/>
    </xf>
    <xf numFmtId="0" fontId="11" fillId="0" borderId="6" xfId="0" applyFont="1" applyBorder="1" applyAlignment="1">
      <alignment horizontal="center" vertical="center"/>
    </xf>
    <xf numFmtId="0" fontId="11" fillId="0" borderId="12" xfId="0" applyFont="1" applyBorder="1" applyAlignment="1">
      <alignment horizontal="center" vertical="center"/>
    </xf>
    <xf numFmtId="0" fontId="12" fillId="2" borderId="27"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15" xfId="0" applyBorder="1" applyAlignment="1">
      <alignment horizontal="left"/>
    </xf>
    <xf numFmtId="0" fontId="0" fillId="0" borderId="16" xfId="0" applyBorder="1" applyAlignment="1">
      <alignment horizontal="left"/>
    </xf>
    <xf numFmtId="0" fontId="0" fillId="0" borderId="13" xfId="0" applyFont="1" applyBorder="1" applyAlignment="1">
      <alignment horizontal="left" vertical="top" wrapText="1"/>
    </xf>
    <xf numFmtId="0" fontId="0" fillId="0" borderId="1" xfId="0" applyFont="1" applyBorder="1" applyAlignment="1">
      <alignment horizontal="left" vertical="top" wrapText="1"/>
    </xf>
    <xf numFmtId="0" fontId="0" fillId="7" borderId="13" xfId="0" applyFont="1" applyFill="1" applyBorder="1" applyAlignment="1">
      <alignment horizontal="left" vertical="top" wrapText="1"/>
    </xf>
    <xf numFmtId="0" fontId="0" fillId="7" borderId="1" xfId="0" applyFont="1" applyFill="1" applyBorder="1" applyAlignment="1">
      <alignment horizontal="left" vertical="top" wrapText="1"/>
    </xf>
    <xf numFmtId="0" fontId="2" fillId="7" borderId="34" xfId="0" applyFont="1" applyFill="1" applyBorder="1" applyAlignment="1">
      <alignment horizontal="center" vertical="center" wrapText="1"/>
    </xf>
    <xf numFmtId="0" fontId="2" fillId="7" borderId="35" xfId="0" applyFont="1" applyFill="1" applyBorder="1" applyAlignment="1">
      <alignment horizontal="center" vertical="center" wrapText="1"/>
    </xf>
    <xf numFmtId="0" fontId="11" fillId="0" borderId="29" xfId="0" applyFont="1" applyFill="1" applyBorder="1" applyAlignment="1">
      <alignment horizontal="center" vertical="center"/>
    </xf>
    <xf numFmtId="0" fontId="11" fillId="0" borderId="9" xfId="0" applyFont="1" applyFill="1" applyBorder="1" applyAlignment="1">
      <alignment horizontal="center" vertical="center"/>
    </xf>
    <xf numFmtId="1" fontId="14" fillId="0" borderId="29" xfId="0" applyNumberFormat="1" applyFont="1" applyBorder="1" applyAlignment="1">
      <alignment horizontal="center" vertical="center"/>
    </xf>
    <xf numFmtId="1" fontId="14" fillId="0" borderId="50" xfId="0" applyNumberFormat="1" applyFont="1" applyBorder="1" applyAlignment="1">
      <alignment horizontal="center" vertical="center"/>
    </xf>
    <xf numFmtId="1" fontId="14" fillId="0" borderId="9" xfId="0" applyNumberFormat="1" applyFont="1" applyBorder="1" applyAlignment="1">
      <alignment horizontal="center" vertical="center"/>
    </xf>
    <xf numFmtId="0" fontId="14" fillId="0" borderId="11"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2" xfId="0" applyFont="1" applyBorder="1" applyAlignment="1">
      <alignment horizontal="center" vertical="center" wrapText="1"/>
    </xf>
    <xf numFmtId="0" fontId="11" fillId="0" borderId="29" xfId="0" applyFont="1" applyBorder="1" applyAlignment="1">
      <alignment horizontal="center" vertical="center"/>
    </xf>
    <xf numFmtId="0" fontId="11" fillId="0" borderId="9" xfId="0" applyFont="1" applyBorder="1" applyAlignment="1">
      <alignment horizontal="center" vertical="center"/>
    </xf>
    <xf numFmtId="0" fontId="15" fillId="0" borderId="34" xfId="0" applyFont="1" applyBorder="1" applyAlignment="1">
      <alignment horizontal="right" vertical="top" wrapText="1"/>
    </xf>
    <xf numFmtId="0" fontId="15" fillId="0" borderId="35" xfId="0" applyFont="1" applyBorder="1" applyAlignment="1">
      <alignment horizontal="right" vertical="top" wrapText="1"/>
    </xf>
    <xf numFmtId="0" fontId="0" fillId="0" borderId="31" xfId="0" applyFont="1" applyFill="1" applyBorder="1" applyAlignment="1">
      <alignment horizontal="left" vertical="center" wrapText="1" indent="6"/>
    </xf>
    <xf numFmtId="0" fontId="0" fillId="0" borderId="32" xfId="0" applyFont="1" applyFill="1" applyBorder="1" applyAlignment="1">
      <alignment horizontal="left" vertical="center" wrapText="1" indent="6"/>
    </xf>
    <xf numFmtId="0" fontId="0" fillId="0" borderId="8" xfId="0" applyFont="1" applyBorder="1" applyAlignment="1">
      <alignment horizontal="left" vertical="top" wrapText="1"/>
    </xf>
    <xf numFmtId="0" fontId="0" fillId="0" borderId="9" xfId="0" applyFont="1" applyBorder="1" applyAlignment="1">
      <alignment horizontal="left" vertical="top" wrapText="1"/>
    </xf>
    <xf numFmtId="0" fontId="0" fillId="0" borderId="5" xfId="0" applyFont="1" applyBorder="1" applyAlignment="1">
      <alignment horizontal="left" vertical="top"/>
    </xf>
    <xf numFmtId="0" fontId="0" fillId="0" borderId="12" xfId="0" applyFont="1" applyBorder="1" applyAlignment="1">
      <alignment horizontal="left" vertical="top"/>
    </xf>
    <xf numFmtId="0" fontId="0" fillId="0" borderId="5" xfId="0" applyFont="1" applyFill="1" applyBorder="1" applyAlignment="1">
      <alignment horizontal="left" vertical="center" wrapText="1" indent="6"/>
    </xf>
    <xf numFmtId="0" fontId="0" fillId="0" borderId="12" xfId="0" applyFont="1" applyFill="1" applyBorder="1" applyAlignment="1">
      <alignment horizontal="left" vertical="center" wrapText="1" indent="6"/>
    </xf>
    <xf numFmtId="9" fontId="11" fillId="0" borderId="1" xfId="1" applyFont="1" applyFill="1" applyBorder="1" applyAlignment="1">
      <alignment horizontal="center" vertical="center" wrapText="1"/>
    </xf>
    <xf numFmtId="0" fontId="12" fillId="0" borderId="13" xfId="0" applyFont="1" applyBorder="1" applyAlignment="1">
      <alignment horizontal="left" vertical="top" wrapText="1"/>
    </xf>
    <xf numFmtId="0" fontId="12" fillId="0" borderId="1" xfId="0" applyFont="1" applyBorder="1" applyAlignment="1">
      <alignment horizontal="left" vertical="top" wrapText="1"/>
    </xf>
    <xf numFmtId="1" fontId="12" fillId="12"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0" fillId="0" borderId="11" xfId="0" applyBorder="1" applyAlignment="1">
      <alignment horizontal="center" vertical="center" wrapText="1"/>
    </xf>
    <xf numFmtId="0" fontId="13" fillId="0" borderId="29" xfId="0" applyFont="1" applyFill="1" applyBorder="1" applyAlignment="1">
      <alignment horizontal="center" vertical="center"/>
    </xf>
    <xf numFmtId="0" fontId="13" fillId="0" borderId="9" xfId="0" applyFont="1" applyFill="1" applyBorder="1" applyAlignment="1">
      <alignment horizontal="center" vertical="center"/>
    </xf>
    <xf numFmtId="0" fontId="0" fillId="0" borderId="39" xfId="0" applyFont="1" applyBorder="1" applyAlignment="1">
      <alignment horizontal="left" vertical="top" wrapText="1"/>
    </xf>
    <xf numFmtId="0" fontId="0" fillId="0" borderId="29" xfId="0" applyFont="1" applyBorder="1" applyAlignment="1">
      <alignment horizontal="left" vertical="top" wrapText="1"/>
    </xf>
    <xf numFmtId="1" fontId="12" fillId="12" borderId="29" xfId="0" applyNumberFormat="1" applyFont="1" applyFill="1" applyBorder="1" applyAlignment="1" applyProtection="1">
      <alignment horizontal="center" vertical="center" wrapText="1"/>
      <protection locked="0"/>
    </xf>
    <xf numFmtId="1" fontId="0" fillId="12" borderId="29" xfId="0" applyNumberFormat="1" applyFill="1" applyBorder="1" applyAlignment="1" applyProtection="1">
      <alignment horizontal="center" vertical="center" wrapText="1"/>
      <protection locked="0"/>
    </xf>
    <xf numFmtId="1" fontId="0" fillId="12" borderId="33" xfId="0" applyNumberFormat="1" applyFill="1" applyBorder="1" applyAlignment="1" applyProtection="1">
      <alignment horizontal="center" vertical="center" wrapText="1"/>
      <protection locked="0"/>
    </xf>
    <xf numFmtId="9" fontId="11" fillId="0" borderId="29" xfId="1" applyFont="1" applyFill="1" applyBorder="1" applyAlignment="1">
      <alignment horizontal="center" vertical="center" wrapText="1"/>
    </xf>
    <xf numFmtId="0" fontId="13" fillId="0" borderId="50" xfId="0" applyFont="1" applyFill="1" applyBorder="1" applyAlignment="1">
      <alignment horizontal="center" vertical="center"/>
    </xf>
    <xf numFmtId="0" fontId="13" fillId="0" borderId="67" xfId="0" applyFont="1" applyFill="1" applyBorder="1" applyAlignment="1">
      <alignment horizontal="center" vertical="center"/>
    </xf>
    <xf numFmtId="1" fontId="0" fillId="12" borderId="1" xfId="0" applyNumberFormat="1" applyFill="1" applyBorder="1" applyAlignment="1" applyProtection="1">
      <alignment horizontal="center" vertical="center" wrapText="1"/>
      <protection locked="0"/>
    </xf>
    <xf numFmtId="1" fontId="0" fillId="12" borderId="11" xfId="0" applyNumberFormat="1" applyFill="1" applyBorder="1" applyAlignment="1" applyProtection="1">
      <alignment horizontal="center" vertical="center" wrapText="1"/>
      <protection locked="0"/>
    </xf>
    <xf numFmtId="0" fontId="11" fillId="6" borderId="20" xfId="0" applyFont="1" applyFill="1" applyBorder="1" applyAlignment="1">
      <alignment horizontal="center" vertical="center"/>
    </xf>
    <xf numFmtId="0" fontId="11" fillId="6" borderId="21" xfId="0" applyFont="1" applyFill="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2" borderId="33" xfId="0" applyFont="1" applyFill="1" applyBorder="1" applyAlignment="1">
      <alignment horizontal="center" vertical="center" wrapText="1"/>
    </xf>
    <xf numFmtId="0" fontId="12" fillId="2" borderId="43" xfId="0" applyFont="1" applyFill="1" applyBorder="1" applyAlignment="1">
      <alignment horizontal="center" vertical="center" wrapText="1"/>
    </xf>
    <xf numFmtId="0" fontId="0" fillId="0" borderId="13" xfId="0" applyBorder="1" applyAlignment="1">
      <alignment horizontal="center" vertical="center" wrapText="1"/>
    </xf>
    <xf numFmtId="0" fontId="18" fillId="0" borderId="13" xfId="0" applyFont="1" applyBorder="1" applyAlignment="1">
      <alignment horizontal="left" vertical="center" wrapText="1"/>
    </xf>
    <xf numFmtId="0" fontId="18" fillId="0" borderId="1" xfId="0" applyFont="1" applyBorder="1" applyAlignment="1">
      <alignment horizontal="left" vertical="center" wrapText="1"/>
    </xf>
    <xf numFmtId="1" fontId="18" fillId="2" borderId="1" xfId="0" applyNumberFormat="1" applyFont="1" applyFill="1" applyBorder="1" applyAlignment="1" applyProtection="1">
      <alignment horizontal="center" vertical="center"/>
      <protection locked="0"/>
    </xf>
    <xf numFmtId="1" fontId="18" fillId="2" borderId="1" xfId="0" applyNumberFormat="1" applyFont="1" applyFill="1" applyBorder="1" applyAlignment="1" applyProtection="1">
      <alignment horizontal="center" vertical="center" wrapText="1"/>
      <protection locked="0"/>
    </xf>
    <xf numFmtId="9" fontId="18" fillId="0" borderId="11" xfId="1" applyFont="1" applyBorder="1" applyAlignment="1">
      <alignment horizontal="center" vertical="center" wrapText="1"/>
    </xf>
    <xf numFmtId="9" fontId="18" fillId="0" borderId="12" xfId="1" applyFont="1" applyBorder="1" applyAlignment="1">
      <alignment horizontal="center" vertical="center" wrapText="1"/>
    </xf>
    <xf numFmtId="1" fontId="18" fillId="2" borderId="11" xfId="0" applyNumberFormat="1" applyFont="1" applyFill="1" applyBorder="1" applyAlignment="1" applyProtection="1">
      <alignment horizontal="center" vertical="center"/>
      <protection locked="0"/>
    </xf>
    <xf numFmtId="1" fontId="18" fillId="2" borderId="12" xfId="0" applyNumberFormat="1" applyFont="1" applyFill="1" applyBorder="1" applyAlignment="1" applyProtection="1">
      <alignment horizontal="center" vertical="center"/>
      <protection locked="0"/>
    </xf>
    <xf numFmtId="1" fontId="18" fillId="2" borderId="11" xfId="0" applyNumberFormat="1" applyFont="1" applyFill="1" applyBorder="1" applyAlignment="1" applyProtection="1">
      <alignment horizontal="center" vertical="center" wrapText="1"/>
      <protection locked="0"/>
    </xf>
    <xf numFmtId="1" fontId="18" fillId="2" borderId="12" xfId="0" applyNumberFormat="1" applyFont="1" applyFill="1" applyBorder="1" applyAlignment="1" applyProtection="1">
      <alignment horizontal="center" vertical="center" wrapText="1"/>
      <protection locked="0"/>
    </xf>
    <xf numFmtId="0" fontId="11" fillId="6" borderId="2" xfId="0" applyFont="1" applyFill="1" applyBorder="1" applyAlignment="1">
      <alignment horizontal="center" vertical="center"/>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0" borderId="1" xfId="0" applyFont="1" applyBorder="1" applyAlignment="1">
      <alignment horizontal="center" vertical="center"/>
    </xf>
    <xf numFmtId="0" fontId="12" fillId="2" borderId="33" xfId="0" applyFont="1" applyFill="1" applyBorder="1" applyAlignment="1" applyProtection="1">
      <alignment horizontal="center" vertical="center" wrapText="1"/>
      <protection locked="0"/>
    </xf>
    <xf numFmtId="0" fontId="12" fillId="2" borderId="27" xfId="0" applyFont="1" applyFill="1" applyBorder="1" applyAlignment="1" applyProtection="1">
      <alignment horizontal="center" vertical="center" wrapText="1"/>
      <protection locked="0"/>
    </xf>
    <xf numFmtId="0" fontId="12" fillId="2" borderId="28" xfId="0" applyFont="1" applyFill="1" applyBorder="1" applyAlignment="1" applyProtection="1">
      <alignment horizontal="center" vertical="center" wrapText="1"/>
      <protection locked="0"/>
    </xf>
    <xf numFmtId="0" fontId="12" fillId="2" borderId="43" xfId="0" applyFont="1" applyFill="1" applyBorder="1" applyAlignment="1" applyProtection="1">
      <alignment horizontal="center" vertical="center" wrapText="1"/>
      <protection locked="0"/>
    </xf>
    <xf numFmtId="0" fontId="12" fillId="2" borderId="0" xfId="0" applyFont="1" applyFill="1" applyBorder="1" applyAlignment="1" applyProtection="1">
      <alignment horizontal="center" vertical="center" wrapText="1"/>
      <protection locked="0"/>
    </xf>
    <xf numFmtId="0" fontId="12" fillId="2" borderId="30" xfId="0" applyFont="1" applyFill="1" applyBorder="1" applyAlignment="1" applyProtection="1">
      <alignment horizontal="center" vertical="center" wrapText="1"/>
      <protection locked="0"/>
    </xf>
    <xf numFmtId="0" fontId="12" fillId="2" borderId="41" xfId="0" applyFont="1" applyFill="1" applyBorder="1" applyAlignment="1" applyProtection="1">
      <alignment horizontal="center" vertical="center" wrapText="1"/>
      <protection locked="0"/>
    </xf>
    <xf numFmtId="0" fontId="16" fillId="0" borderId="1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1" xfId="0" applyFont="1" applyBorder="1" applyAlignment="1">
      <alignment horizontal="center" vertical="center" wrapText="1"/>
    </xf>
    <xf numFmtId="0" fontId="18" fillId="12" borderId="39" xfId="0" applyFont="1" applyFill="1" applyBorder="1" applyAlignment="1" applyProtection="1">
      <alignment horizontal="left" vertical="center" wrapText="1"/>
      <protection locked="0"/>
    </xf>
    <xf numFmtId="0" fontId="18" fillId="12" borderId="29" xfId="0" applyFont="1" applyFill="1" applyBorder="1" applyAlignment="1" applyProtection="1">
      <alignment horizontal="left" vertical="center" wrapText="1"/>
      <protection locked="0"/>
    </xf>
    <xf numFmtId="1" fontId="18" fillId="2" borderId="29" xfId="0" applyNumberFormat="1" applyFont="1" applyFill="1" applyBorder="1" applyAlignment="1" applyProtection="1">
      <alignment horizontal="center" vertical="center"/>
      <protection locked="0"/>
    </xf>
    <xf numFmtId="1" fontId="18" fillId="2" borderId="29" xfId="0" applyNumberFormat="1" applyFont="1" applyFill="1" applyBorder="1" applyAlignment="1" applyProtection="1">
      <alignment horizontal="center" vertical="center" wrapText="1"/>
      <protection locked="0"/>
    </xf>
    <xf numFmtId="9" fontId="18" fillId="0" borderId="33" xfId="1" applyFont="1" applyBorder="1" applyAlignment="1">
      <alignment horizontal="center" vertical="center" wrapText="1"/>
    </xf>
    <xf numFmtId="9" fontId="18" fillId="0" borderId="32" xfId="1" applyFont="1" applyBorder="1" applyAlignment="1">
      <alignment horizontal="center" vertical="center" wrapText="1"/>
    </xf>
    <xf numFmtId="0" fontId="5" fillId="0" borderId="34" xfId="0" applyFont="1" applyBorder="1" applyAlignment="1">
      <alignment horizontal="center"/>
    </xf>
    <xf numFmtId="0" fontId="5" fillId="0" borderId="35" xfId="0" applyFont="1" applyBorder="1" applyAlignment="1">
      <alignment horizontal="center"/>
    </xf>
    <xf numFmtId="1" fontId="15" fillId="0" borderId="40" xfId="0" applyNumberFormat="1" applyFont="1" applyBorder="1" applyAlignment="1">
      <alignment horizontal="center"/>
    </xf>
    <xf numFmtId="1" fontId="15" fillId="0" borderId="35" xfId="0" applyNumberFormat="1" applyFont="1" applyBorder="1" applyAlignment="1">
      <alignment horizontal="center"/>
    </xf>
    <xf numFmtId="9" fontId="5" fillId="0" borderId="40" xfId="0" applyNumberFormat="1" applyFont="1" applyBorder="1" applyAlignment="1">
      <alignment horizontal="center" wrapText="1"/>
    </xf>
    <xf numFmtId="9" fontId="5" fillId="0" borderId="35" xfId="0" applyNumberFormat="1" applyFont="1" applyBorder="1" applyAlignment="1">
      <alignment horizontal="center" wrapText="1"/>
    </xf>
    <xf numFmtId="0" fontId="16" fillId="0" borderId="5" xfId="0" applyFont="1" applyBorder="1" applyAlignment="1">
      <alignment horizontal="left" vertical="center" wrapText="1"/>
    </xf>
    <xf numFmtId="0" fontId="16" fillId="0" borderId="12" xfId="0" applyFont="1" applyBorder="1" applyAlignment="1">
      <alignment horizontal="left" vertical="center" wrapText="1"/>
    </xf>
    <xf numFmtId="0" fontId="5" fillId="9" borderId="44" xfId="0" applyFont="1" applyFill="1" applyBorder="1" applyAlignment="1">
      <alignment horizontal="center" vertical="center"/>
    </xf>
    <xf numFmtId="0" fontId="5" fillId="9" borderId="45" xfId="0" applyFont="1" applyFill="1" applyBorder="1" applyAlignment="1">
      <alignment horizontal="center" vertical="center"/>
    </xf>
    <xf numFmtId="0" fontId="9" fillId="5" borderId="44" xfId="0" applyFont="1" applyFill="1" applyBorder="1" applyAlignment="1">
      <alignment horizontal="center"/>
    </xf>
    <xf numFmtId="0" fontId="9" fillId="5" borderId="45" xfId="0" applyFont="1" applyFill="1" applyBorder="1" applyAlignment="1">
      <alignment horizontal="center"/>
    </xf>
    <xf numFmtId="0" fontId="9" fillId="5" borderId="46" xfId="0" applyFont="1" applyFill="1" applyBorder="1" applyAlignment="1">
      <alignment horizontal="center"/>
    </xf>
    <xf numFmtId="0" fontId="5" fillId="6" borderId="49"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4" xfId="0" applyFont="1" applyFill="1" applyBorder="1" applyAlignment="1">
      <alignment horizontal="center" vertical="center"/>
    </xf>
    <xf numFmtId="0" fontId="19" fillId="0" borderId="1" xfId="0" applyFont="1" applyBorder="1" applyAlignment="1">
      <alignment horizontal="center" vertical="center"/>
    </xf>
    <xf numFmtId="0" fontId="19" fillId="2" borderId="33" xfId="0" applyFont="1" applyFill="1" applyBorder="1" applyAlignment="1" applyProtection="1">
      <alignment horizontal="center" vertical="center" wrapText="1"/>
      <protection locked="0"/>
    </xf>
    <xf numFmtId="0" fontId="19" fillId="2" borderId="27" xfId="0" applyFont="1" applyFill="1" applyBorder="1" applyAlignment="1" applyProtection="1">
      <alignment horizontal="center" vertical="center" wrapText="1"/>
      <protection locked="0"/>
    </xf>
    <xf numFmtId="0" fontId="19" fillId="2" borderId="28" xfId="0" applyFont="1" applyFill="1" applyBorder="1" applyAlignment="1" applyProtection="1">
      <alignment horizontal="center" vertical="center" wrapText="1"/>
      <protection locked="0"/>
    </xf>
    <xf numFmtId="0" fontId="19" fillId="2" borderId="43" xfId="0" applyFont="1" applyFill="1" applyBorder="1" applyAlignment="1" applyProtection="1">
      <alignment horizontal="center" vertical="center" wrapText="1"/>
      <protection locked="0"/>
    </xf>
    <xf numFmtId="0" fontId="19" fillId="2" borderId="0" xfId="0" applyFont="1" applyFill="1" applyBorder="1" applyAlignment="1" applyProtection="1">
      <alignment horizontal="center" vertical="center" wrapText="1"/>
      <protection locked="0"/>
    </xf>
    <xf numFmtId="0" fontId="19" fillId="2" borderId="30" xfId="0" applyFont="1" applyFill="1" applyBorder="1" applyAlignment="1" applyProtection="1">
      <alignment horizontal="center" vertical="center" wrapText="1"/>
      <protection locked="0"/>
    </xf>
    <xf numFmtId="0" fontId="19" fillId="2" borderId="41" xfId="0" applyFont="1" applyFill="1" applyBorder="1" applyAlignment="1" applyProtection="1">
      <alignment horizontal="center" vertical="center" wrapText="1"/>
      <protection locked="0"/>
    </xf>
    <xf numFmtId="0" fontId="19" fillId="0" borderId="13" xfId="0" applyFont="1" applyBorder="1" applyAlignment="1">
      <alignment horizontal="center" vertical="center"/>
    </xf>
    <xf numFmtId="0" fontId="19" fillId="0" borderId="13" xfId="0" applyFont="1" applyBorder="1" applyAlignment="1">
      <alignment horizontal="left" vertical="center"/>
    </xf>
    <xf numFmtId="0" fontId="19" fillId="0" borderId="1" xfId="0" applyFont="1" applyBorder="1" applyAlignment="1">
      <alignment horizontal="left" vertical="center"/>
    </xf>
    <xf numFmtId="1" fontId="11" fillId="12" borderId="1" xfId="0" applyNumberFormat="1" applyFont="1" applyFill="1" applyBorder="1" applyAlignment="1" applyProtection="1">
      <alignment horizontal="center" vertical="center" wrapText="1"/>
      <protection locked="0"/>
    </xf>
    <xf numFmtId="1" fontId="11" fillId="12" borderId="14" xfId="0" applyNumberFormat="1" applyFont="1" applyFill="1" applyBorder="1" applyAlignment="1" applyProtection="1">
      <alignment horizontal="center" vertical="center" wrapText="1"/>
      <protection locked="0"/>
    </xf>
    <xf numFmtId="0" fontId="19" fillId="0" borderId="39" xfId="0" applyFont="1" applyBorder="1" applyAlignment="1">
      <alignment horizontal="left" vertical="center"/>
    </xf>
    <xf numFmtId="0" fontId="19" fillId="0" borderId="29" xfId="0" applyFont="1" applyBorder="1" applyAlignment="1">
      <alignment horizontal="left" vertical="center"/>
    </xf>
    <xf numFmtId="1" fontId="11" fillId="12" borderId="29" xfId="0" applyNumberFormat="1" applyFont="1" applyFill="1" applyBorder="1" applyAlignment="1" applyProtection="1">
      <alignment horizontal="center" vertical="center" wrapText="1"/>
      <protection locked="0"/>
    </xf>
    <xf numFmtId="1" fontId="11" fillId="12" borderId="47" xfId="0" applyNumberFormat="1" applyFont="1" applyFill="1" applyBorder="1" applyAlignment="1" applyProtection="1">
      <alignment horizontal="center" vertical="center" wrapText="1"/>
      <protection locked="0"/>
    </xf>
    <xf numFmtId="0" fontId="10" fillId="0" borderId="48" xfId="0" applyFont="1" applyBorder="1" applyAlignment="1">
      <alignment horizontal="right" vertical="center"/>
    </xf>
    <xf numFmtId="0" fontId="10" fillId="0" borderId="36" xfId="0" applyFont="1" applyBorder="1" applyAlignment="1">
      <alignment horizontal="right" vertical="center"/>
    </xf>
    <xf numFmtId="1" fontId="11" fillId="0" borderId="36" xfId="0" applyNumberFormat="1" applyFont="1" applyBorder="1" applyAlignment="1">
      <alignment horizontal="center" vertical="center" wrapText="1"/>
    </xf>
    <xf numFmtId="0" fontId="11" fillId="0" borderId="37" xfId="0" applyFont="1" applyBorder="1" applyAlignment="1">
      <alignment horizontal="center" vertical="center" wrapText="1"/>
    </xf>
    <xf numFmtId="0" fontId="5" fillId="7" borderId="19" xfId="0" applyFont="1" applyFill="1" applyBorder="1" applyAlignment="1">
      <alignment horizontal="center"/>
    </xf>
    <xf numFmtId="0" fontId="5" fillId="7" borderId="20" xfId="0" applyFont="1" applyFill="1" applyBorder="1" applyAlignment="1">
      <alignment horizontal="center"/>
    </xf>
    <xf numFmtId="0" fontId="5" fillId="7" borderId="21" xfId="0" applyFont="1" applyFill="1" applyBorder="1" applyAlignment="1">
      <alignment horizontal="center"/>
    </xf>
    <xf numFmtId="0" fontId="12" fillId="0" borderId="1" xfId="0" applyFont="1" applyBorder="1" applyAlignment="1">
      <alignment horizontal="center" wrapText="1"/>
    </xf>
    <xf numFmtId="0" fontId="12" fillId="0" borderId="14" xfId="0" applyFont="1" applyBorder="1" applyAlignment="1">
      <alignment horizontal="center" wrapText="1"/>
    </xf>
    <xf numFmtId="1" fontId="10" fillId="12" borderId="1" xfId="0" applyNumberFormat="1" applyFont="1" applyFill="1" applyBorder="1" applyAlignment="1" applyProtection="1">
      <alignment horizontal="center" vertical="center"/>
      <protection locked="0"/>
    </xf>
    <xf numFmtId="9" fontId="10" fillId="0" borderId="1" xfId="1" applyFont="1" applyBorder="1" applyAlignment="1">
      <alignment horizontal="center" vertical="center"/>
    </xf>
    <xf numFmtId="0" fontId="19" fillId="0" borderId="33"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20"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5" fillId="6" borderId="20" xfId="0" applyFont="1" applyFill="1" applyBorder="1" applyAlignment="1">
      <alignment horizontal="center" vertical="center"/>
    </xf>
    <xf numFmtId="0" fontId="5" fillId="6" borderId="21" xfId="0" applyFont="1" applyFill="1" applyBorder="1" applyAlignment="1">
      <alignment horizontal="center" vertical="center"/>
    </xf>
    <xf numFmtId="0" fontId="19" fillId="2" borderId="27"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38" xfId="0" applyFont="1" applyBorder="1" applyAlignment="1">
      <alignment horizontal="center" vertical="center" wrapText="1"/>
    </xf>
    <xf numFmtId="9" fontId="10" fillId="0" borderId="29" xfId="1" applyFont="1" applyBorder="1" applyAlignment="1">
      <alignment horizontal="center" vertical="center"/>
    </xf>
    <xf numFmtId="1" fontId="10" fillId="0" borderId="36" xfId="0" applyNumberFormat="1" applyFont="1" applyFill="1" applyBorder="1" applyAlignment="1">
      <alignment horizontal="center" vertical="center"/>
    </xf>
    <xf numFmtId="9" fontId="10" fillId="0" borderId="36" xfId="1" applyFont="1" applyBorder="1" applyAlignment="1">
      <alignment horizontal="center" vertical="center"/>
    </xf>
    <xf numFmtId="0" fontId="18" fillId="0" borderId="13" xfId="0" applyFont="1" applyBorder="1" applyAlignment="1">
      <alignment horizontal="left" vertical="top" wrapText="1"/>
    </xf>
    <xf numFmtId="0" fontId="18" fillId="0" borderId="1" xfId="0" applyFont="1" applyBorder="1" applyAlignment="1">
      <alignment horizontal="left" vertical="top" wrapText="1"/>
    </xf>
    <xf numFmtId="1" fontId="18" fillId="11" borderId="33" xfId="0" applyNumberFormat="1" applyFont="1" applyFill="1" applyBorder="1" applyAlignment="1" applyProtection="1">
      <alignment horizontal="center" vertical="center"/>
      <protection locked="0"/>
    </xf>
    <xf numFmtId="1" fontId="18" fillId="11" borderId="32" xfId="0" applyNumberFormat="1" applyFont="1" applyFill="1" applyBorder="1" applyAlignment="1" applyProtection="1">
      <alignment horizontal="center" vertical="center"/>
      <protection locked="0"/>
    </xf>
    <xf numFmtId="9" fontId="18" fillId="0" borderId="1" xfId="1" applyNumberFormat="1" applyFont="1" applyBorder="1" applyAlignment="1">
      <alignment horizontal="center" vertical="center"/>
    </xf>
    <xf numFmtId="0" fontId="16" fillId="7" borderId="68" xfId="0" applyFont="1" applyFill="1" applyBorder="1" applyAlignment="1">
      <alignment horizontal="left" vertical="center" wrapText="1"/>
    </xf>
    <xf numFmtId="0" fontId="16" fillId="7" borderId="57" xfId="0" applyFont="1" applyFill="1" applyBorder="1" applyAlignment="1">
      <alignment horizontal="left" vertical="center" wrapText="1"/>
    </xf>
    <xf numFmtId="0" fontId="16" fillId="7" borderId="52" xfId="0" applyFont="1" applyFill="1" applyBorder="1" applyAlignment="1">
      <alignment horizontal="left" vertical="center" wrapText="1"/>
    </xf>
    <xf numFmtId="0" fontId="5" fillId="9" borderId="2" xfId="0" applyFont="1" applyFill="1" applyBorder="1" applyAlignment="1">
      <alignment horizontal="center"/>
    </xf>
    <xf numFmtId="0" fontId="5" fillId="9" borderId="3" xfId="0" applyFont="1" applyFill="1" applyBorder="1" applyAlignment="1">
      <alignment horizontal="center"/>
    </xf>
    <xf numFmtId="0" fontId="9" fillId="5" borderId="20" xfId="0" applyFont="1" applyFill="1" applyBorder="1" applyAlignment="1">
      <alignment horizontal="center" vertical="center"/>
    </xf>
    <xf numFmtId="1" fontId="18" fillId="11" borderId="1" xfId="0" applyNumberFormat="1" applyFont="1" applyFill="1" applyBorder="1" applyAlignment="1" applyProtection="1">
      <alignment horizontal="center" vertical="center"/>
      <protection locked="0"/>
    </xf>
    <xf numFmtId="0" fontId="16" fillId="7" borderId="6" xfId="0" applyFont="1" applyFill="1" applyBorder="1" applyAlignment="1">
      <alignment horizontal="center" vertical="top" wrapText="1"/>
    </xf>
    <xf numFmtId="1" fontId="16" fillId="7" borderId="11" xfId="0" applyNumberFormat="1" applyFont="1" applyFill="1" applyBorder="1" applyAlignment="1">
      <alignment horizontal="center" vertical="center"/>
    </xf>
    <xf numFmtId="1" fontId="16" fillId="7" borderId="12" xfId="0" applyNumberFormat="1" applyFont="1" applyFill="1" applyBorder="1" applyAlignment="1">
      <alignment horizontal="center" vertical="center"/>
    </xf>
    <xf numFmtId="9" fontId="16" fillId="7" borderId="1" xfId="1" applyNumberFormat="1" applyFont="1" applyFill="1" applyBorder="1" applyAlignment="1">
      <alignment horizontal="center" vertical="center"/>
    </xf>
    <xf numFmtId="0" fontId="18" fillId="0" borderId="1" xfId="0" applyFont="1" applyBorder="1" applyAlignment="1">
      <alignment horizontal="left" vertical="center"/>
    </xf>
    <xf numFmtId="9" fontId="18" fillId="2" borderId="1" xfId="1" applyFont="1" applyFill="1" applyBorder="1" applyAlignment="1" applyProtection="1">
      <alignment horizontal="center" vertical="center"/>
      <protection locked="0"/>
    </xf>
    <xf numFmtId="1" fontId="19" fillId="2" borderId="1" xfId="0" applyNumberFormat="1" applyFont="1" applyFill="1" applyBorder="1" applyAlignment="1" applyProtection="1">
      <alignment horizontal="center" vertical="center"/>
      <protection locked="0"/>
    </xf>
    <xf numFmtId="1" fontId="17" fillId="0" borderId="1" xfId="0" applyNumberFormat="1" applyFont="1" applyFill="1" applyBorder="1" applyAlignment="1">
      <alignment horizontal="center" vertical="center"/>
    </xf>
    <xf numFmtId="1" fontId="18" fillId="2" borderId="33" xfId="0" applyNumberFormat="1" applyFont="1" applyFill="1" applyBorder="1" applyAlignment="1" applyProtection="1">
      <alignment horizontal="center" vertical="center"/>
      <protection locked="0"/>
    </xf>
    <xf numFmtId="1" fontId="18" fillId="2" borderId="32" xfId="0" applyNumberFormat="1" applyFont="1" applyFill="1" applyBorder="1" applyAlignment="1" applyProtection="1">
      <alignment horizontal="center" vertical="center"/>
      <protection locked="0"/>
    </xf>
    <xf numFmtId="1" fontId="18" fillId="2" borderId="38" xfId="0" applyNumberFormat="1" applyFont="1" applyFill="1" applyBorder="1" applyAlignment="1" applyProtection="1">
      <alignment horizontal="center" vertical="center"/>
      <protection locked="0"/>
    </xf>
    <xf numFmtId="1" fontId="18" fillId="2" borderId="52" xfId="0" applyNumberFormat="1" applyFont="1" applyFill="1" applyBorder="1" applyAlignment="1" applyProtection="1">
      <alignment horizontal="center" vertical="center"/>
      <protection locked="0"/>
    </xf>
    <xf numFmtId="0" fontId="18" fillId="0" borderId="39" xfId="0" applyFont="1" applyFill="1" applyBorder="1" applyAlignment="1">
      <alignment horizontal="left" vertical="center" wrapText="1"/>
    </xf>
    <xf numFmtId="0" fontId="18" fillId="0" borderId="29" xfId="0" applyFont="1" applyFill="1" applyBorder="1" applyAlignment="1">
      <alignment horizontal="left" vertical="center"/>
    </xf>
    <xf numFmtId="9" fontId="18" fillId="2" borderId="29" xfId="1" applyFont="1" applyFill="1" applyBorder="1" applyAlignment="1" applyProtection="1">
      <alignment horizontal="center" vertical="center"/>
      <protection locked="0"/>
    </xf>
    <xf numFmtId="0" fontId="16" fillId="7" borderId="29" xfId="0" applyFont="1" applyFill="1" applyBorder="1" applyAlignment="1">
      <alignment horizontal="center" vertical="top" wrapText="1"/>
    </xf>
    <xf numFmtId="0" fontId="21" fillId="7" borderId="17" xfId="0" applyFont="1" applyFill="1" applyBorder="1" applyAlignment="1">
      <alignment horizontal="center" vertical="center"/>
    </xf>
    <xf numFmtId="0" fontId="21" fillId="7" borderId="51" xfId="0" applyFont="1" applyFill="1" applyBorder="1" applyAlignment="1">
      <alignment horizontal="center" vertical="center"/>
    </xf>
    <xf numFmtId="9" fontId="5" fillId="7" borderId="29" xfId="1" applyFont="1" applyFill="1" applyBorder="1" applyAlignment="1">
      <alignment horizontal="center" vertical="center"/>
    </xf>
    <xf numFmtId="0" fontId="18" fillId="0" borderId="13" xfId="0" applyFont="1" applyFill="1" applyBorder="1" applyAlignment="1">
      <alignment horizontal="left" vertical="center" wrapText="1"/>
    </xf>
    <xf numFmtId="0" fontId="18" fillId="0" borderId="1" xfId="0" applyFont="1" applyFill="1" applyBorder="1" applyAlignment="1">
      <alignment horizontal="left" vertical="center"/>
    </xf>
    <xf numFmtId="9" fontId="3" fillId="2" borderId="1" xfId="0" applyNumberFormat="1" applyFont="1" applyFill="1" applyBorder="1" applyAlignment="1" applyProtection="1">
      <alignment horizontal="center" vertical="center"/>
      <protection locked="0"/>
    </xf>
    <xf numFmtId="1" fontId="3" fillId="2" borderId="29" xfId="0" applyNumberFormat="1" applyFont="1" applyFill="1" applyBorder="1" applyAlignment="1" applyProtection="1">
      <alignment horizontal="center" vertical="center"/>
      <protection locked="0"/>
    </xf>
    <xf numFmtId="9" fontId="3" fillId="2" borderId="29" xfId="0" applyNumberFormat="1" applyFont="1" applyFill="1" applyBorder="1" applyAlignment="1" applyProtection="1">
      <alignment horizontal="center" vertical="center"/>
      <protection locked="0"/>
    </xf>
    <xf numFmtId="1" fontId="3" fillId="0" borderId="36" xfId="0" applyNumberFormat="1" applyFont="1" applyBorder="1" applyAlignment="1">
      <alignment horizontal="center" vertical="center"/>
    </xf>
    <xf numFmtId="1" fontId="3" fillId="0" borderId="40" xfId="0" applyNumberFormat="1" applyFont="1" applyBorder="1" applyAlignment="1">
      <alignment horizontal="center" vertical="center"/>
    </xf>
    <xf numFmtId="1" fontId="3" fillId="0" borderId="54" xfId="0" applyNumberFormat="1" applyFont="1" applyBorder="1" applyAlignment="1">
      <alignment horizontal="center" vertical="center"/>
    </xf>
    <xf numFmtId="1" fontId="3" fillId="0" borderId="35" xfId="0" applyNumberFormat="1" applyFont="1" applyBorder="1" applyAlignment="1">
      <alignment horizontal="center" vertical="center"/>
    </xf>
    <xf numFmtId="9" fontId="3" fillId="0" borderId="36" xfId="0" applyNumberFormat="1" applyFont="1" applyBorder="1" applyAlignment="1">
      <alignment horizontal="center" vertical="center"/>
    </xf>
    <xf numFmtId="0" fontId="11" fillId="6" borderId="24" xfId="0" applyFont="1" applyFill="1" applyBorder="1" applyAlignment="1">
      <alignment horizontal="center" vertical="center"/>
    </xf>
    <xf numFmtId="0" fontId="11" fillId="6" borderId="25" xfId="0" applyFont="1" applyFill="1" applyBorder="1" applyAlignment="1">
      <alignment horizontal="center" vertical="center"/>
    </xf>
    <xf numFmtId="0" fontId="11" fillId="6" borderId="26" xfId="0" applyFont="1" applyFill="1" applyBorder="1" applyAlignment="1">
      <alignment horizontal="center" vertical="center"/>
    </xf>
    <xf numFmtId="0" fontId="18" fillId="0" borderId="1" xfId="0" applyFont="1" applyBorder="1" applyAlignment="1">
      <alignment horizontal="center" vertical="center" wrapText="1"/>
    </xf>
    <xf numFmtId="0" fontId="12" fillId="2" borderId="42" xfId="0" applyFont="1" applyFill="1" applyBorder="1" applyAlignment="1" applyProtection="1">
      <alignment horizontal="center" vertical="center" wrapText="1"/>
      <protection locked="0"/>
    </xf>
    <xf numFmtId="1" fontId="3" fillId="2" borderId="1" xfId="0" applyNumberFormat="1" applyFont="1" applyFill="1" applyBorder="1" applyAlignment="1" applyProtection="1">
      <alignment horizontal="center" vertical="center"/>
      <protection locked="0"/>
    </xf>
    <xf numFmtId="0" fontId="16" fillId="0" borderId="48" xfId="0" applyFont="1" applyFill="1" applyBorder="1" applyAlignment="1">
      <alignment horizontal="center" vertical="top" wrapText="1"/>
    </xf>
    <xf numFmtId="0" fontId="16" fillId="0" borderId="36" xfId="0" applyFont="1" applyFill="1" applyBorder="1" applyAlignment="1">
      <alignment horizontal="center" vertical="top" wrapText="1"/>
    </xf>
    <xf numFmtId="1" fontId="18" fillId="0" borderId="36" xfId="0" applyNumberFormat="1" applyFont="1" applyFill="1" applyBorder="1" applyAlignment="1">
      <alignment horizontal="center" vertical="center"/>
    </xf>
    <xf numFmtId="9" fontId="18" fillId="0" borderId="36" xfId="1" applyFont="1" applyBorder="1" applyAlignment="1">
      <alignment horizontal="center" vertical="center"/>
    </xf>
    <xf numFmtId="0" fontId="5" fillId="9" borderId="44" xfId="0" applyFont="1" applyFill="1" applyBorder="1" applyAlignment="1">
      <alignment horizontal="center"/>
    </xf>
    <xf numFmtId="0" fontId="5" fillId="9" borderId="45" xfId="0" applyFont="1" applyFill="1" applyBorder="1" applyAlignment="1">
      <alignment horizontal="center"/>
    </xf>
    <xf numFmtId="0" fontId="5" fillId="9" borderId="49" xfId="0" applyFont="1" applyFill="1" applyBorder="1" applyAlignment="1">
      <alignment horizontal="center"/>
    </xf>
    <xf numFmtId="1" fontId="0" fillId="2" borderId="11" xfId="0" applyNumberFormat="1" applyFill="1" applyBorder="1" applyAlignment="1" applyProtection="1">
      <alignment horizontal="center"/>
      <protection locked="0"/>
    </xf>
    <xf numFmtId="1" fontId="0" fillId="2" borderId="12" xfId="0" applyNumberFormat="1" applyFill="1" applyBorder="1" applyAlignment="1" applyProtection="1">
      <alignment horizontal="center"/>
      <protection locked="0"/>
    </xf>
    <xf numFmtId="1" fontId="0" fillId="2" borderId="7" xfId="0" applyNumberFormat="1" applyFill="1" applyBorder="1" applyAlignment="1" applyProtection="1">
      <alignment horizontal="center"/>
      <protection locked="0"/>
    </xf>
    <xf numFmtId="1" fontId="0" fillId="7" borderId="11" xfId="0" applyNumberFormat="1" applyFill="1" applyBorder="1" applyAlignment="1">
      <alignment horizontal="center"/>
    </xf>
    <xf numFmtId="1" fontId="0" fillId="7" borderId="12" xfId="0" applyNumberFormat="1" applyFill="1" applyBorder="1" applyAlignment="1">
      <alignment horizontal="center"/>
    </xf>
    <xf numFmtId="1" fontId="0" fillId="7" borderId="7" xfId="0" applyNumberFormat="1" applyFill="1" applyBorder="1" applyAlignment="1">
      <alignment horizontal="center"/>
    </xf>
    <xf numFmtId="0" fontId="5" fillId="9" borderId="53" xfId="0" applyFont="1" applyFill="1" applyBorder="1" applyAlignment="1">
      <alignment horizontal="center"/>
    </xf>
    <xf numFmtId="0" fontId="5" fillId="9" borderId="25" xfId="0" applyFont="1" applyFill="1" applyBorder="1" applyAlignment="1">
      <alignment horizontal="center"/>
    </xf>
    <xf numFmtId="0" fontId="5" fillId="9" borderId="26" xfId="0" applyFont="1" applyFill="1" applyBorder="1" applyAlignment="1">
      <alignment horizontal="center"/>
    </xf>
    <xf numFmtId="0" fontId="9" fillId="5" borderId="53" xfId="0" applyFont="1" applyFill="1" applyBorder="1" applyAlignment="1">
      <alignment horizontal="center" vertical="center"/>
    </xf>
    <xf numFmtId="0" fontId="9" fillId="5" borderId="25" xfId="0" applyFont="1" applyFill="1" applyBorder="1" applyAlignment="1">
      <alignment horizontal="center" vertical="center"/>
    </xf>
    <xf numFmtId="0" fontId="5" fillId="6" borderId="53" xfId="0" applyFont="1" applyFill="1" applyBorder="1" applyAlignment="1">
      <alignment horizontal="center" vertical="center"/>
    </xf>
    <xf numFmtId="0" fontId="5" fillId="6" borderId="25" xfId="0" applyFont="1" applyFill="1" applyBorder="1" applyAlignment="1">
      <alignment horizontal="center" vertical="center"/>
    </xf>
    <xf numFmtId="0" fontId="5" fillId="6" borderId="26" xfId="0" applyFont="1" applyFill="1" applyBorder="1" applyAlignment="1">
      <alignment horizontal="center" vertical="center"/>
    </xf>
    <xf numFmtId="0" fontId="12" fillId="0" borderId="39"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4" xfId="0" applyFont="1" applyBorder="1" applyAlignment="1">
      <alignment horizontal="center" vertical="center"/>
    </xf>
    <xf numFmtId="0" fontId="12" fillId="2" borderId="31" xfId="0" applyFont="1"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0" fillId="2" borderId="0" xfId="0" applyFill="1" applyBorder="1" applyAlignment="1" applyProtection="1">
      <alignment horizontal="center" vertical="center" wrapText="1"/>
      <protection locked="0"/>
    </xf>
    <xf numFmtId="0" fontId="0" fillId="2" borderId="30" xfId="0" applyFill="1" applyBorder="1" applyAlignment="1" applyProtection="1">
      <alignment horizontal="center" vertical="center" wrapText="1"/>
      <protection locked="0"/>
    </xf>
    <xf numFmtId="0" fontId="0" fillId="2" borderId="56" xfId="0" applyFill="1" applyBorder="1" applyAlignment="1" applyProtection="1">
      <alignment horizontal="center" vertical="center" wrapText="1"/>
      <protection locked="0"/>
    </xf>
    <xf numFmtId="0" fontId="0" fillId="2" borderId="41" xfId="0" applyFill="1" applyBorder="1" applyAlignment="1" applyProtection="1">
      <alignment horizontal="center" vertical="center" wrapText="1"/>
      <protection locked="0"/>
    </xf>
    <xf numFmtId="0" fontId="0" fillId="0" borderId="9" xfId="0" applyBorder="1" applyAlignment="1">
      <alignment horizontal="center" vertical="center" wrapText="1"/>
    </xf>
    <xf numFmtId="0" fontId="12" fillId="0" borderId="9" xfId="0" applyFont="1" applyBorder="1" applyAlignment="1">
      <alignment horizontal="center" vertical="center" wrapText="1"/>
    </xf>
    <xf numFmtId="0" fontId="0" fillId="0" borderId="10" xfId="0" applyBorder="1" applyAlignment="1">
      <alignment horizontal="center" vertical="center" wrapText="1"/>
    </xf>
    <xf numFmtId="1" fontId="0" fillId="2" borderId="33" xfId="0" applyNumberFormat="1" applyFill="1" applyBorder="1" applyAlignment="1" applyProtection="1">
      <alignment horizontal="center"/>
      <protection locked="0"/>
    </xf>
    <xf numFmtId="1" fontId="0" fillId="2" borderId="32" xfId="0" applyNumberFormat="1" applyFill="1" applyBorder="1" applyAlignment="1" applyProtection="1">
      <alignment horizontal="center"/>
      <protection locked="0"/>
    </xf>
    <xf numFmtId="1" fontId="0" fillId="2" borderId="28" xfId="0" applyNumberFormat="1" applyFill="1" applyBorder="1" applyAlignment="1" applyProtection="1">
      <alignment horizontal="center"/>
      <protection locked="0"/>
    </xf>
    <xf numFmtId="0" fontId="7" fillId="0" borderId="34" xfId="0" applyFont="1" applyBorder="1" applyAlignment="1">
      <alignment horizontal="right"/>
    </xf>
    <xf numFmtId="0" fontId="7" fillId="0" borderId="54" xfId="0" applyFont="1" applyBorder="1" applyAlignment="1">
      <alignment horizontal="right"/>
    </xf>
    <xf numFmtId="0" fontId="7" fillId="0" borderId="35" xfId="0" applyFont="1" applyBorder="1" applyAlignment="1">
      <alignment horizontal="right"/>
    </xf>
    <xf numFmtId="1" fontId="7" fillId="0" borderId="40" xfId="0" applyNumberFormat="1" applyFont="1" applyBorder="1" applyAlignment="1">
      <alignment horizontal="center"/>
    </xf>
    <xf numFmtId="1" fontId="7" fillId="0" borderId="35" xfId="0" applyNumberFormat="1" applyFont="1" applyBorder="1" applyAlignment="1">
      <alignment horizontal="center"/>
    </xf>
    <xf numFmtId="1" fontId="7" fillId="0" borderId="55" xfId="0" applyNumberFormat="1" applyFont="1" applyBorder="1" applyAlignment="1">
      <alignment horizontal="center"/>
    </xf>
    <xf numFmtId="9" fontId="0" fillId="0" borderId="1" xfId="1" applyFont="1" applyFill="1" applyBorder="1" applyAlignment="1">
      <alignment horizontal="center"/>
    </xf>
    <xf numFmtId="1" fontId="0" fillId="2" borderId="1" xfId="0" applyNumberFormat="1" applyFont="1" applyFill="1" applyBorder="1" applyAlignment="1" applyProtection="1">
      <alignment horizontal="center"/>
      <protection locked="0"/>
    </xf>
    <xf numFmtId="1" fontId="0" fillId="2" borderId="1" xfId="0" applyNumberFormat="1" applyFont="1" applyFill="1" applyBorder="1" applyAlignment="1" applyProtection="1">
      <alignment horizontal="center" vertical="center"/>
      <protection locked="0"/>
    </xf>
    <xf numFmtId="1" fontId="0" fillId="2" borderId="11" xfId="0" applyNumberFormat="1" applyFont="1" applyFill="1" applyBorder="1" applyAlignment="1" applyProtection="1">
      <alignment horizontal="center" vertical="center"/>
      <protection locked="0"/>
    </xf>
    <xf numFmtId="0" fontId="9" fillId="5" borderId="44" xfId="0" applyFont="1" applyFill="1" applyBorder="1" applyAlignment="1">
      <alignment horizontal="center" vertical="center"/>
    </xf>
    <xf numFmtId="0" fontId="9" fillId="5" borderId="45" xfId="0" applyFont="1" applyFill="1" applyBorder="1" applyAlignment="1">
      <alignment horizontal="center" vertical="center"/>
    </xf>
    <xf numFmtId="1" fontId="0" fillId="7" borderId="29" xfId="0" applyNumberFormat="1" applyFont="1" applyFill="1" applyBorder="1" applyAlignment="1">
      <alignment horizontal="center"/>
    </xf>
    <xf numFmtId="1" fontId="0" fillId="7" borderId="33" xfId="0" applyNumberFormat="1" applyFont="1" applyFill="1" applyBorder="1" applyAlignment="1">
      <alignment horizontal="center"/>
    </xf>
    <xf numFmtId="9" fontId="0" fillId="7" borderId="29" xfId="1" applyFont="1" applyFill="1" applyBorder="1" applyAlignment="1">
      <alignment horizontal="center"/>
    </xf>
    <xf numFmtId="1" fontId="0" fillId="0" borderId="1" xfId="0" applyNumberFormat="1" applyBorder="1" applyAlignment="1">
      <alignment horizontal="center" vertical="center"/>
    </xf>
    <xf numFmtId="1" fontId="0" fillId="0" borderId="29" xfId="0" applyNumberFormat="1" applyBorder="1" applyAlignment="1">
      <alignment horizontal="center" vertical="center"/>
    </xf>
    <xf numFmtId="1" fontId="0" fillId="2" borderId="29" xfId="0" applyNumberFormat="1" applyFont="1" applyFill="1" applyBorder="1" applyAlignment="1">
      <alignment horizontal="center"/>
    </xf>
    <xf numFmtId="1" fontId="0" fillId="2" borderId="33" xfId="0" applyNumberFormat="1" applyFont="1" applyFill="1" applyBorder="1" applyAlignment="1">
      <alignment horizontal="center"/>
    </xf>
    <xf numFmtId="9" fontId="0" fillId="0" borderId="11" xfId="1" applyFont="1" applyFill="1" applyBorder="1" applyAlignment="1">
      <alignment horizontal="center"/>
    </xf>
    <xf numFmtId="9" fontId="0" fillId="0" borderId="12" xfId="1" applyFont="1" applyFill="1" applyBorder="1" applyAlignment="1">
      <alignment horizontal="center"/>
    </xf>
    <xf numFmtId="9" fontId="0" fillId="0" borderId="33" xfId="1" applyFont="1" applyFill="1" applyBorder="1" applyAlignment="1">
      <alignment horizontal="center"/>
    </xf>
    <xf numFmtId="9" fontId="0" fillId="0" borderId="32" xfId="1" applyFont="1" applyFill="1" applyBorder="1" applyAlignment="1">
      <alignment horizontal="center"/>
    </xf>
    <xf numFmtId="0" fontId="19" fillId="0" borderId="13" xfId="0" applyFont="1" applyBorder="1" applyAlignment="1">
      <alignment horizontal="left" vertical="center" wrapText="1"/>
    </xf>
    <xf numFmtId="0" fontId="19" fillId="0" borderId="1" xfId="0" applyFont="1" applyBorder="1" applyAlignment="1">
      <alignment horizontal="left" vertical="center" wrapText="1"/>
    </xf>
    <xf numFmtId="1" fontId="19" fillId="2" borderId="14" xfId="0" applyNumberFormat="1" applyFont="1" applyFill="1" applyBorder="1" applyAlignment="1" applyProtection="1">
      <alignment horizontal="center" vertical="center" wrapText="1"/>
      <protection locked="0"/>
    </xf>
    <xf numFmtId="0" fontId="5" fillId="6" borderId="44" xfId="0" applyFont="1" applyFill="1" applyBorder="1" applyAlignment="1">
      <alignment horizontal="center" vertical="center"/>
    </xf>
    <xf numFmtId="0" fontId="5" fillId="6" borderId="45" xfId="0" applyFont="1" applyFill="1" applyBorder="1" applyAlignment="1">
      <alignment horizontal="center" vertical="center"/>
    </xf>
    <xf numFmtId="0" fontId="5" fillId="6" borderId="46" xfId="0" applyFont="1" applyFill="1" applyBorder="1" applyAlignment="1">
      <alignment horizontal="center" vertical="center"/>
    </xf>
    <xf numFmtId="0" fontId="12"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32"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47" xfId="0" applyFill="1" applyBorder="1" applyAlignment="1">
      <alignment horizontal="center" vertical="center" wrapText="1"/>
    </xf>
    <xf numFmtId="0" fontId="0" fillId="2" borderId="51"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22" xfId="0" applyFill="1" applyBorder="1" applyAlignment="1">
      <alignment horizontal="center" vertical="center" wrapText="1"/>
    </xf>
    <xf numFmtId="9" fontId="12" fillId="0" borderId="1" xfId="1" applyFont="1" applyFill="1" applyBorder="1" applyAlignment="1">
      <alignment horizontal="center" vertical="center" wrapText="1"/>
    </xf>
    <xf numFmtId="0" fontId="0" fillId="2" borderId="33" xfId="0" applyFill="1" applyBorder="1" applyAlignment="1">
      <alignment horizontal="center" vertical="center" wrapText="1"/>
    </xf>
    <xf numFmtId="0" fontId="0" fillId="2" borderId="27"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43" xfId="0" applyFill="1" applyBorder="1" applyAlignment="1">
      <alignment horizontal="center" vertical="center" wrapText="1"/>
    </xf>
    <xf numFmtId="0" fontId="0" fillId="2" borderId="0"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41" xfId="0" applyFill="1" applyBorder="1" applyAlignment="1">
      <alignment horizontal="center" vertical="center" wrapText="1"/>
    </xf>
    <xf numFmtId="0" fontId="0" fillId="0" borderId="1" xfId="0" applyFont="1" applyBorder="1" applyAlignment="1">
      <alignment horizontal="center" vertical="center" wrapText="1"/>
    </xf>
    <xf numFmtId="0" fontId="0" fillId="0" borderId="11" xfId="0" applyFont="1" applyBorder="1" applyAlignment="1">
      <alignment horizontal="center" vertical="center" wrapText="1"/>
    </xf>
    <xf numFmtId="1" fontId="27" fillId="2" borderId="1" xfId="0" applyNumberFormat="1" applyFont="1" applyFill="1" applyBorder="1" applyAlignment="1" applyProtection="1">
      <alignment horizontal="center" vertical="center" wrapText="1"/>
      <protection locked="0"/>
    </xf>
    <xf numFmtId="1" fontId="27" fillId="2" borderId="11" xfId="0" applyNumberFormat="1" applyFont="1" applyFill="1" applyBorder="1" applyAlignment="1" applyProtection="1">
      <alignment horizontal="center" vertical="center" wrapText="1"/>
      <protection locked="0"/>
    </xf>
    <xf numFmtId="9" fontId="12" fillId="0" borderId="11" xfId="1" applyFont="1" applyFill="1" applyBorder="1" applyAlignment="1">
      <alignment horizontal="center" vertical="center"/>
    </xf>
    <xf numFmtId="9" fontId="12" fillId="0" borderId="12" xfId="1" applyFont="1" applyFill="1" applyBorder="1" applyAlignment="1">
      <alignment horizontal="center" vertical="center"/>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1" fontId="19" fillId="2" borderId="16" xfId="0" applyNumberFormat="1" applyFont="1" applyFill="1" applyBorder="1" applyAlignment="1" applyProtection="1">
      <alignment horizontal="center" vertical="center" wrapText="1"/>
      <protection locked="0"/>
    </xf>
    <xf numFmtId="1" fontId="19" fillId="2" borderId="22" xfId="0" applyNumberFormat="1" applyFont="1" applyFill="1" applyBorder="1" applyAlignment="1" applyProtection="1">
      <alignment horizontal="center" vertical="center" wrapText="1"/>
      <protection locked="0"/>
    </xf>
    <xf numFmtId="0" fontId="5" fillId="9" borderId="23" xfId="0" applyFont="1" applyFill="1" applyBorder="1" applyAlignment="1">
      <alignment horizontal="center"/>
    </xf>
    <xf numFmtId="0" fontId="5" fillId="9" borderId="0" xfId="0" applyFont="1" applyFill="1" applyBorder="1" applyAlignment="1">
      <alignment horizontal="center"/>
    </xf>
    <xf numFmtId="0" fontId="10" fillId="5" borderId="19" xfId="0" applyFont="1" applyFill="1" applyBorder="1" applyAlignment="1">
      <alignment horizontal="left" vertical="center"/>
    </xf>
    <xf numFmtId="0" fontId="10" fillId="5" borderId="20" xfId="0" applyFont="1" applyFill="1" applyBorder="1" applyAlignment="1">
      <alignment horizontal="left" vertical="center"/>
    </xf>
    <xf numFmtId="0" fontId="10" fillId="5" borderId="20" xfId="0" applyFont="1" applyFill="1" applyBorder="1" applyAlignment="1">
      <alignment horizontal="center" vertical="center" wrapText="1"/>
    </xf>
    <xf numFmtId="0" fontId="10" fillId="5" borderId="21" xfId="0" applyFont="1" applyFill="1" applyBorder="1" applyAlignment="1">
      <alignment horizontal="center" vertical="center" wrapText="1"/>
    </xf>
    <xf numFmtId="1" fontId="27" fillId="2" borderId="29" xfId="0" applyNumberFormat="1" applyFont="1" applyFill="1" applyBorder="1" applyAlignment="1" applyProtection="1">
      <alignment horizontal="center" vertical="center" wrapText="1"/>
      <protection locked="0"/>
    </xf>
    <xf numFmtId="1" fontId="27" fillId="2" borderId="33" xfId="0" applyNumberFormat="1" applyFont="1" applyFill="1" applyBorder="1" applyAlignment="1" applyProtection="1">
      <alignment horizontal="center" vertical="center" wrapText="1"/>
      <protection locked="0"/>
    </xf>
    <xf numFmtId="9" fontId="12" fillId="0" borderId="33" xfId="1" applyFont="1" applyFill="1" applyBorder="1" applyAlignment="1">
      <alignment horizontal="center" vertical="center"/>
    </xf>
    <xf numFmtId="9" fontId="12" fillId="0" borderId="32" xfId="1" applyFont="1" applyFill="1" applyBorder="1" applyAlignment="1">
      <alignment horizontal="center" vertical="center"/>
    </xf>
    <xf numFmtId="0" fontId="4" fillId="0" borderId="34" xfId="0" applyFont="1" applyBorder="1" applyAlignment="1">
      <alignment horizontal="right"/>
    </xf>
    <xf numFmtId="0" fontId="4" fillId="0" borderId="54" xfId="0" applyFont="1" applyBorder="1" applyAlignment="1">
      <alignment horizontal="right"/>
    </xf>
    <xf numFmtId="0" fontId="4" fillId="0" borderId="35" xfId="0" applyFont="1" applyBorder="1" applyAlignment="1">
      <alignment horizontal="right"/>
    </xf>
    <xf numFmtId="1" fontId="14" fillId="0" borderId="40" xfId="0" applyNumberFormat="1" applyFont="1" applyBorder="1" applyAlignment="1">
      <alignment horizontal="center" vertical="center"/>
    </xf>
    <xf numFmtId="1" fontId="14" fillId="0" borderId="54" xfId="0" applyNumberFormat="1" applyFont="1" applyBorder="1" applyAlignment="1">
      <alignment horizontal="center" vertical="center"/>
    </xf>
    <xf numFmtId="9" fontId="11" fillId="0" borderId="40" xfId="1" applyFont="1" applyFill="1" applyBorder="1" applyAlignment="1">
      <alignment horizontal="center" vertical="center"/>
    </xf>
    <xf numFmtId="9" fontId="11" fillId="0" borderId="35" xfId="1" applyFont="1" applyFill="1" applyBorder="1" applyAlignment="1">
      <alignment horizontal="center" vertical="center"/>
    </xf>
    <xf numFmtId="0" fontId="7" fillId="0" borderId="48" xfId="0" applyFont="1" applyBorder="1" applyAlignment="1">
      <alignment horizontal="right"/>
    </xf>
    <xf numFmtId="0" fontId="7" fillId="0" borderId="36" xfId="0" applyFont="1" applyBorder="1" applyAlignment="1">
      <alignment horizontal="right"/>
    </xf>
    <xf numFmtId="0" fontId="3" fillId="0" borderId="36" xfId="0" applyFont="1" applyBorder="1" applyAlignment="1">
      <alignment horizontal="center" vertical="center"/>
    </xf>
    <xf numFmtId="1" fontId="4" fillId="0" borderId="36" xfId="0" applyNumberFormat="1" applyFont="1" applyBorder="1" applyAlignment="1">
      <alignment horizontal="center" vertical="center" wrapText="1"/>
    </xf>
    <xf numFmtId="9" fontId="4" fillId="0" borderId="36" xfId="1" applyFont="1" applyFill="1" applyBorder="1" applyAlignment="1">
      <alignment horizontal="center"/>
    </xf>
    <xf numFmtId="0" fontId="19" fillId="0" borderId="13" xfId="0" applyFont="1" applyBorder="1" applyAlignment="1">
      <alignment horizontal="left" vertical="center" wrapText="1" indent="5"/>
    </xf>
    <xf numFmtId="0" fontId="19" fillId="0" borderId="1" xfId="0" applyFont="1" applyBorder="1" applyAlignment="1">
      <alignment horizontal="left" vertical="center" wrapText="1" indent="5"/>
    </xf>
    <xf numFmtId="0" fontId="19" fillId="2" borderId="1" xfId="0" applyFont="1" applyFill="1" applyBorder="1" applyAlignment="1" applyProtection="1">
      <alignment horizontal="center" vertical="center" wrapText="1"/>
      <protection locked="0"/>
    </xf>
    <xf numFmtId="0" fontId="10" fillId="5" borderId="5"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9" fillId="5" borderId="11" xfId="0" applyFont="1" applyFill="1" applyBorder="1" applyAlignment="1">
      <alignment horizontal="center" vertical="center" wrapText="1"/>
    </xf>
    <xf numFmtId="0" fontId="19" fillId="5" borderId="12" xfId="0" applyFont="1" applyFill="1" applyBorder="1" applyAlignment="1">
      <alignment horizontal="center" vertical="center" wrapText="1"/>
    </xf>
    <xf numFmtId="0" fontId="0" fillId="2" borderId="33" xfId="0" applyFill="1" applyBorder="1" applyAlignment="1">
      <alignment horizontal="center"/>
    </xf>
    <xf numFmtId="0" fontId="0" fillId="2" borderId="27" xfId="0" applyFill="1" applyBorder="1" applyAlignment="1">
      <alignment horizontal="center"/>
    </xf>
    <xf numFmtId="0" fontId="0" fillId="2" borderId="28" xfId="0" applyFill="1" applyBorder="1" applyAlignment="1">
      <alignment horizontal="center"/>
    </xf>
    <xf numFmtId="0" fontId="0" fillId="2" borderId="43" xfId="0" applyFill="1" applyBorder="1" applyAlignment="1">
      <alignment horizontal="center"/>
    </xf>
    <xf numFmtId="0" fontId="0" fillId="2" borderId="0" xfId="0" applyFill="1" applyBorder="1" applyAlignment="1">
      <alignment horizontal="center"/>
    </xf>
    <xf numFmtId="0" fontId="0" fillId="2" borderId="30" xfId="0" applyFill="1" applyBorder="1" applyAlignment="1">
      <alignment horizontal="center"/>
    </xf>
    <xf numFmtId="0" fontId="0" fillId="2" borderId="57" xfId="0" applyFill="1" applyBorder="1" applyAlignment="1">
      <alignment horizontal="center"/>
    </xf>
    <xf numFmtId="0" fontId="0" fillId="2" borderId="58" xfId="0" applyFill="1" applyBorder="1" applyAlignment="1">
      <alignment horizontal="center"/>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13" xfId="0" applyFont="1" applyBorder="1" applyAlignment="1">
      <alignment horizontal="center" vertical="center" wrapText="1"/>
    </xf>
    <xf numFmtId="0" fontId="0" fillId="0" borderId="20" xfId="0" applyBorder="1" applyAlignment="1">
      <alignment horizontal="center" wrapText="1"/>
    </xf>
    <xf numFmtId="0" fontId="0" fillId="0" borderId="1" xfId="0" applyBorder="1" applyAlignment="1">
      <alignment horizontal="center" wrapText="1"/>
    </xf>
    <xf numFmtId="0" fontId="19" fillId="0" borderId="20" xfId="0" applyFont="1" applyBorder="1" applyAlignment="1">
      <alignment horizontal="center" wrapText="1"/>
    </xf>
    <xf numFmtId="0" fontId="19" fillId="0" borderId="1" xfId="0" applyFont="1" applyBorder="1" applyAlignment="1">
      <alignment horizontal="center" wrapText="1"/>
    </xf>
    <xf numFmtId="0" fontId="10" fillId="5" borderId="13" xfId="0" applyFont="1" applyFill="1" applyBorder="1" applyAlignment="1">
      <alignment horizontal="left" vertical="center" wrapText="1"/>
    </xf>
    <xf numFmtId="0" fontId="10" fillId="5" borderId="1" xfId="0" applyFont="1" applyFill="1" applyBorder="1" applyAlignment="1">
      <alignment horizontal="left" vertical="center" wrapText="1"/>
    </xf>
    <xf numFmtId="1" fontId="19" fillId="5" borderId="1" xfId="0" applyNumberFormat="1" applyFont="1" applyFill="1" applyBorder="1" applyAlignment="1">
      <alignment horizontal="center" vertical="center" wrapText="1"/>
    </xf>
    <xf numFmtId="0" fontId="19" fillId="0" borderId="13" xfId="0" applyFont="1" applyBorder="1" applyAlignment="1">
      <alignment vertical="center" wrapText="1"/>
    </xf>
    <xf numFmtId="0" fontId="19" fillId="0" borderId="1" xfId="0" applyFont="1" applyBorder="1" applyAlignment="1">
      <alignment vertical="center" wrapText="1"/>
    </xf>
    <xf numFmtId="1" fontId="19" fillId="8" borderId="1" xfId="0" applyNumberFormat="1" applyFont="1" applyFill="1" applyBorder="1" applyAlignment="1">
      <alignment horizontal="center" vertical="center" wrapText="1"/>
    </xf>
    <xf numFmtId="0" fontId="5" fillId="9" borderId="2"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66" xfId="0" applyFont="1" applyFill="1" applyBorder="1" applyAlignment="1">
      <alignment horizontal="center" vertical="center"/>
    </xf>
    <xf numFmtId="0" fontId="0" fillId="0" borderId="1" xfId="0" applyFill="1" applyBorder="1" applyAlignment="1">
      <alignment horizontal="center" vertical="center" wrapText="1"/>
    </xf>
    <xf numFmtId="0" fontId="3" fillId="5" borderId="5" xfId="0" applyFont="1" applyFill="1" applyBorder="1" applyAlignment="1">
      <alignment horizontal="left"/>
    </xf>
    <xf numFmtId="0" fontId="3" fillId="5" borderId="6" xfId="0" applyFont="1" applyFill="1" applyBorder="1" applyAlignment="1">
      <alignment horizontal="left"/>
    </xf>
    <xf numFmtId="0" fontId="3" fillId="5" borderId="12" xfId="0" applyFont="1" applyFill="1" applyBorder="1" applyAlignment="1">
      <alignment horizontal="left"/>
    </xf>
    <xf numFmtId="0" fontId="19" fillId="0" borderId="31" xfId="0" applyFont="1" applyBorder="1" applyAlignment="1">
      <alignment horizontal="left" vertical="center" wrapText="1"/>
    </xf>
    <xf numFmtId="0" fontId="19" fillId="0" borderId="32" xfId="0" applyFont="1" applyBorder="1" applyAlignment="1">
      <alignment horizontal="left" vertical="center" wrapText="1"/>
    </xf>
    <xf numFmtId="1" fontId="19" fillId="2" borderId="33" xfId="0" applyNumberFormat="1" applyFont="1" applyFill="1" applyBorder="1" applyAlignment="1" applyProtection="1">
      <alignment horizontal="center" vertical="center" wrapText="1"/>
      <protection locked="0"/>
    </xf>
    <xf numFmtId="1" fontId="19" fillId="2" borderId="32" xfId="0" applyNumberFormat="1" applyFont="1" applyFill="1" applyBorder="1" applyAlignment="1" applyProtection="1">
      <alignment horizontal="center" vertical="center" wrapText="1"/>
      <protection locked="0"/>
    </xf>
    <xf numFmtId="9" fontId="0" fillId="0" borderId="33" xfId="1" applyFont="1" applyFill="1" applyBorder="1" applyAlignment="1">
      <alignment horizontal="center" vertical="center"/>
    </xf>
    <xf numFmtId="9" fontId="0" fillId="0" borderId="32" xfId="1" applyFont="1" applyFill="1" applyBorder="1" applyAlignment="1">
      <alignment horizontal="center" vertical="center"/>
    </xf>
    <xf numFmtId="0" fontId="10" fillId="0" borderId="48" xfId="0" applyFont="1" applyBorder="1" applyAlignment="1">
      <alignment horizontal="right" vertical="center" wrapText="1"/>
    </xf>
    <xf numFmtId="0" fontId="10" fillId="0" borderId="36" xfId="0" applyFont="1" applyBorder="1" applyAlignment="1">
      <alignment horizontal="right" vertical="center" wrapText="1"/>
    </xf>
    <xf numFmtId="1" fontId="10" fillId="0" borderId="36" xfId="0" applyNumberFormat="1" applyFont="1" applyBorder="1" applyAlignment="1">
      <alignment horizontal="center" vertical="center" wrapText="1"/>
    </xf>
    <xf numFmtId="9" fontId="2" fillId="0" borderId="40" xfId="1" applyFont="1" applyBorder="1" applyAlignment="1">
      <alignment horizontal="center"/>
    </xf>
    <xf numFmtId="9" fontId="2" fillId="0" borderId="35" xfId="1" applyFont="1" applyBorder="1" applyAlignment="1">
      <alignment horizontal="center"/>
    </xf>
    <xf numFmtId="1" fontId="11" fillId="11" borderId="1" xfId="0" applyNumberFormat="1" applyFont="1" applyFill="1" applyBorder="1" applyAlignment="1" applyProtection="1">
      <alignment horizontal="center" vertical="center"/>
      <protection locked="0"/>
    </xf>
    <xf numFmtId="0" fontId="13" fillId="0" borderId="29" xfId="0" applyFont="1" applyFill="1" applyBorder="1" applyAlignment="1">
      <alignment horizontal="center" vertical="center" wrapText="1"/>
    </xf>
    <xf numFmtId="0" fontId="13" fillId="0" borderId="50" xfId="0" applyFont="1" applyFill="1" applyBorder="1" applyAlignment="1">
      <alignment horizontal="center" vertical="center" wrapText="1"/>
    </xf>
    <xf numFmtId="0" fontId="13" fillId="0" borderId="9" xfId="0" applyFont="1" applyFill="1" applyBorder="1" applyAlignment="1">
      <alignment horizontal="center" vertical="center" wrapText="1"/>
    </xf>
    <xf numFmtId="1" fontId="11" fillId="2" borderId="1" xfId="0" applyNumberFormat="1" applyFont="1" applyFill="1" applyBorder="1" applyAlignment="1" applyProtection="1">
      <alignment horizontal="center" vertical="center"/>
      <protection locked="0"/>
    </xf>
    <xf numFmtId="1" fontId="13" fillId="0" borderId="29" xfId="0" applyNumberFormat="1" applyFont="1" applyBorder="1" applyAlignment="1">
      <alignment horizontal="center" vertical="center"/>
    </xf>
    <xf numFmtId="1" fontId="13" fillId="0" borderId="50" xfId="0" applyNumberFormat="1" applyFont="1" applyBorder="1" applyAlignment="1">
      <alignment horizontal="center" vertical="center"/>
    </xf>
    <xf numFmtId="1" fontId="13" fillId="0" borderId="9" xfId="0" applyNumberFormat="1" applyFont="1" applyBorder="1" applyAlignment="1">
      <alignment horizontal="center" vertical="center"/>
    </xf>
    <xf numFmtId="1" fontId="2" fillId="2" borderId="1" xfId="0" applyNumberFormat="1" applyFont="1" applyFill="1" applyBorder="1" applyAlignment="1" applyProtection="1">
      <alignment horizontal="center" vertical="center" wrapText="1"/>
      <protection locked="0"/>
    </xf>
    <xf numFmtId="1" fontId="11" fillId="2" borderId="29" xfId="0" applyNumberFormat="1" applyFont="1" applyFill="1" applyBorder="1" applyAlignment="1" applyProtection="1">
      <alignment horizontal="center" vertical="center"/>
      <protection locked="0"/>
    </xf>
    <xf numFmtId="9" fontId="0" fillId="0" borderId="33" xfId="1" applyFont="1" applyBorder="1" applyAlignment="1">
      <alignment horizontal="center" vertical="center"/>
    </xf>
    <xf numFmtId="9" fontId="0" fillId="0" borderId="32" xfId="1" applyFont="1" applyBorder="1" applyAlignment="1">
      <alignment horizontal="center" vertical="center"/>
    </xf>
    <xf numFmtId="1" fontId="11" fillId="0" borderId="40" xfId="0" applyNumberFormat="1" applyFont="1" applyFill="1" applyBorder="1" applyAlignment="1">
      <alignment horizontal="center" vertical="center"/>
    </xf>
    <xf numFmtId="1" fontId="11" fillId="0" borderId="35" xfId="0" applyNumberFormat="1" applyFont="1" applyFill="1" applyBorder="1" applyAlignment="1">
      <alignment horizontal="center" vertical="center"/>
    </xf>
    <xf numFmtId="1" fontId="11" fillId="0" borderId="54" xfId="0" applyNumberFormat="1" applyFont="1" applyFill="1" applyBorder="1" applyAlignment="1">
      <alignment horizontal="center" vertical="center"/>
    </xf>
    <xf numFmtId="9" fontId="2" fillId="0" borderId="40" xfId="1" applyFont="1" applyBorder="1" applyAlignment="1">
      <alignment horizontal="center" vertical="center"/>
    </xf>
    <xf numFmtId="9" fontId="2" fillId="0" borderId="35" xfId="1" applyFont="1" applyBorder="1" applyAlignment="1">
      <alignment horizontal="center" vertical="center"/>
    </xf>
    <xf numFmtId="0" fontId="5" fillId="6" borderId="54" xfId="0" applyFont="1" applyFill="1" applyBorder="1" applyAlignment="1">
      <alignment horizontal="center" vertical="center"/>
    </xf>
    <xf numFmtId="0" fontId="5" fillId="6" borderId="55" xfId="0" applyFont="1" applyFill="1" applyBorder="1" applyAlignment="1">
      <alignment horizontal="center" vertical="center"/>
    </xf>
    <xf numFmtId="0" fontId="12" fillId="2" borderId="45" xfId="0" applyFont="1" applyFill="1" applyBorder="1" applyAlignment="1">
      <alignment horizontal="center" vertical="center" wrapText="1"/>
    </xf>
    <xf numFmtId="0" fontId="12" fillId="2" borderId="46" xfId="0" applyFont="1" applyFill="1" applyBorder="1" applyAlignment="1">
      <alignment horizontal="center" vertical="center" wrapText="1"/>
    </xf>
    <xf numFmtId="1" fontId="13" fillId="0" borderId="1" xfId="0" applyNumberFormat="1" applyFont="1" applyBorder="1" applyAlignment="1">
      <alignment horizontal="center" vertical="center"/>
    </xf>
    <xf numFmtId="1" fontId="11" fillId="2" borderId="1" xfId="0" applyNumberFormat="1" applyFont="1" applyFill="1" applyBorder="1" applyAlignment="1" applyProtection="1">
      <alignment horizontal="center"/>
      <protection locked="0"/>
    </xf>
    <xf numFmtId="1" fontId="2" fillId="0" borderId="67" xfId="0" applyNumberFormat="1" applyFont="1" applyFill="1" applyBorder="1" applyAlignment="1">
      <alignment horizontal="center" vertical="center" wrapText="1"/>
    </xf>
    <xf numFmtId="9" fontId="2" fillId="0" borderId="36" xfId="1" applyFont="1" applyFill="1" applyBorder="1" applyAlignment="1">
      <alignment horizontal="center" vertical="center" wrapText="1"/>
    </xf>
    <xf numFmtId="0" fontId="5" fillId="9" borderId="44" xfId="0" applyFont="1" applyFill="1" applyBorder="1" applyAlignment="1">
      <alignment horizontal="left" vertical="center"/>
    </xf>
    <xf numFmtId="0" fontId="5" fillId="9" borderId="45" xfId="0" applyFont="1" applyFill="1" applyBorder="1" applyAlignment="1">
      <alignment horizontal="left" vertical="center"/>
    </xf>
    <xf numFmtId="0" fontId="5" fillId="9" borderId="49" xfId="0" applyFont="1" applyFill="1" applyBorder="1" applyAlignment="1">
      <alignment horizontal="left" vertical="center"/>
    </xf>
    <xf numFmtId="9" fontId="2" fillId="0" borderId="1" xfId="1" applyFont="1" applyFill="1" applyBorder="1" applyAlignment="1">
      <alignment horizontal="center" vertical="center" wrapText="1"/>
    </xf>
    <xf numFmtId="9" fontId="2" fillId="0" borderId="29" xfId="1" applyFont="1" applyFill="1" applyBorder="1" applyAlignment="1">
      <alignment horizontal="center" vertical="center" wrapText="1"/>
    </xf>
    <xf numFmtId="1" fontId="2" fillId="0" borderId="1" xfId="0" applyNumberFormat="1" applyFont="1" applyBorder="1" applyAlignment="1">
      <alignment horizontal="center" vertical="center"/>
    </xf>
    <xf numFmtId="1" fontId="2" fillId="0" borderId="29" xfId="0" applyNumberFormat="1" applyFont="1" applyBorder="1" applyAlignment="1">
      <alignment horizontal="center" vertical="center"/>
    </xf>
    <xf numFmtId="0" fontId="0" fillId="0" borderId="63" xfId="0" applyBorder="1" applyAlignment="1">
      <alignment horizontal="left"/>
    </xf>
    <xf numFmtId="0" fontId="0" fillId="0" borderId="69" xfId="0" applyBorder="1" applyAlignment="1">
      <alignment horizontal="left"/>
    </xf>
    <xf numFmtId="0" fontId="0" fillId="0" borderId="51" xfId="0" applyBorder="1" applyAlignment="1">
      <alignment horizontal="left"/>
    </xf>
    <xf numFmtId="0" fontId="4" fillId="5" borderId="5" xfId="0" applyFont="1" applyFill="1" applyBorder="1" applyAlignment="1">
      <alignment horizontal="left"/>
    </xf>
    <xf numFmtId="0" fontId="4" fillId="5" borderId="6" xfId="0" applyFont="1" applyFill="1" applyBorder="1" applyAlignment="1">
      <alignment horizontal="left"/>
    </xf>
    <xf numFmtId="0" fontId="4" fillId="5" borderId="12" xfId="0" applyFont="1" applyFill="1" applyBorder="1" applyAlignment="1">
      <alignment horizontal="left"/>
    </xf>
    <xf numFmtId="0" fontId="0" fillId="2" borderId="45" xfId="0" applyFill="1" applyBorder="1" applyAlignment="1" applyProtection="1">
      <alignment horizontal="center" vertical="center" wrapText="1"/>
      <protection locked="0"/>
    </xf>
    <xf numFmtId="0" fontId="0" fillId="0" borderId="8" xfId="0" applyBorder="1" applyAlignment="1">
      <alignment horizontal="left"/>
    </xf>
    <xf numFmtId="0" fontId="12" fillId="2" borderId="9" xfId="0" applyFont="1" applyFill="1" applyBorder="1" applyAlignment="1" applyProtection="1">
      <alignment horizontal="center"/>
      <protection locked="0"/>
    </xf>
    <xf numFmtId="0" fontId="0" fillId="2" borderId="38" xfId="0" applyFill="1" applyBorder="1" applyAlignment="1" applyProtection="1">
      <alignment horizontal="center"/>
      <protection locked="0"/>
    </xf>
    <xf numFmtId="0" fontId="12" fillId="2" borderId="17" xfId="0" applyFont="1" applyFill="1" applyBorder="1" applyAlignment="1" applyProtection="1">
      <alignment horizontal="center"/>
      <protection locked="0"/>
    </xf>
    <xf numFmtId="0" fontId="12" fillId="2" borderId="51" xfId="0" applyFont="1" applyFill="1" applyBorder="1" applyAlignment="1" applyProtection="1">
      <alignment horizontal="center"/>
      <protection locked="0"/>
    </xf>
    <xf numFmtId="1" fontId="13" fillId="0" borderId="36" xfId="0" applyNumberFormat="1" applyFont="1" applyBorder="1" applyAlignment="1">
      <alignment horizontal="center" vertical="center"/>
    </xf>
    <xf numFmtId="1" fontId="11" fillId="0" borderId="36" xfId="0" applyNumberFormat="1" applyFont="1" applyFill="1" applyBorder="1" applyAlignment="1">
      <alignment horizontal="center"/>
    </xf>
    <xf numFmtId="9" fontId="11" fillId="0" borderId="36" xfId="1" applyFont="1" applyBorder="1" applyAlignment="1">
      <alignment horizontal="center" vertical="center"/>
    </xf>
    <xf numFmtId="0" fontId="5" fillId="9" borderId="53" xfId="0" applyFont="1" applyFill="1" applyBorder="1" applyAlignment="1">
      <alignment horizontal="left"/>
    </xf>
    <xf numFmtId="0" fontId="5" fillId="9" borderId="25" xfId="0" applyFont="1" applyFill="1" applyBorder="1" applyAlignment="1">
      <alignment horizontal="left"/>
    </xf>
    <xf numFmtId="0" fontId="5" fillId="9" borderId="65" xfId="0" applyFont="1" applyFill="1" applyBorder="1" applyAlignment="1">
      <alignment horizontal="left"/>
    </xf>
    <xf numFmtId="0" fontId="0" fillId="11" borderId="1" xfId="0" applyFill="1" applyBorder="1" applyAlignment="1" applyProtection="1">
      <alignment horizontal="center" vertical="center"/>
      <protection locked="0"/>
    </xf>
    <xf numFmtId="1" fontId="13" fillId="11" borderId="1" xfId="0" applyNumberFormat="1" applyFont="1" applyFill="1" applyBorder="1" applyAlignment="1">
      <alignment horizontal="center" vertical="center" wrapText="1"/>
    </xf>
    <xf numFmtId="0" fontId="11" fillId="11" borderId="1" xfId="0" applyFont="1" applyFill="1" applyBorder="1" applyAlignment="1">
      <alignment horizontal="center" vertical="center" wrapText="1"/>
    </xf>
    <xf numFmtId="1" fontId="12" fillId="11" borderId="1" xfId="0" applyNumberFormat="1" applyFont="1" applyFill="1" applyBorder="1" applyAlignment="1">
      <alignment horizontal="center" vertical="center"/>
    </xf>
    <xf numFmtId="0" fontId="2" fillId="5" borderId="5" xfId="0" applyFont="1" applyFill="1" applyBorder="1" applyAlignment="1">
      <alignment horizontal="left" vertical="top" wrapText="1"/>
    </xf>
    <xf numFmtId="0" fontId="2" fillId="5" borderId="6" xfId="0" applyFont="1" applyFill="1" applyBorder="1" applyAlignment="1">
      <alignment horizontal="left" vertical="top" wrapText="1"/>
    </xf>
    <xf numFmtId="0" fontId="2" fillId="5" borderId="12" xfId="0" applyFont="1" applyFill="1" applyBorder="1" applyAlignment="1">
      <alignment horizontal="left" vertical="top" wrapText="1"/>
    </xf>
    <xf numFmtId="1" fontId="30" fillId="0" borderId="36" xfId="0" applyNumberFormat="1" applyFont="1" applyBorder="1" applyAlignment="1">
      <alignment horizontal="center"/>
    </xf>
    <xf numFmtId="1" fontId="30" fillId="0" borderId="37" xfId="0" applyNumberFormat="1" applyFont="1" applyBorder="1" applyAlignment="1">
      <alignment horizontal="center"/>
    </xf>
    <xf numFmtId="0" fontId="5" fillId="9" borderId="44" xfId="0" applyFont="1" applyFill="1" applyBorder="1" applyAlignment="1">
      <alignment horizontal="left"/>
    </xf>
    <xf numFmtId="0" fontId="5" fillId="9" borderId="45" xfId="0" applyFont="1" applyFill="1" applyBorder="1" applyAlignment="1">
      <alignment horizontal="left"/>
    </xf>
    <xf numFmtId="0" fontId="5" fillId="9" borderId="49" xfId="0" applyFont="1" applyFill="1" applyBorder="1" applyAlignment="1">
      <alignment horizontal="left"/>
    </xf>
    <xf numFmtId="0" fontId="12" fillId="0" borderId="1" xfId="0" applyFont="1" applyBorder="1" applyAlignment="1">
      <alignment horizontal="center"/>
    </xf>
    <xf numFmtId="0" fontId="0" fillId="0" borderId="1" xfId="0" applyBorder="1" applyAlignment="1">
      <alignment horizontal="center" vertical="top" wrapText="1"/>
    </xf>
    <xf numFmtId="0" fontId="13" fillId="0" borderId="1" xfId="0" applyFont="1" applyFill="1" applyBorder="1" applyAlignment="1">
      <alignment horizontal="center" vertical="top" wrapText="1"/>
    </xf>
    <xf numFmtId="0" fontId="0" fillId="0" borderId="11" xfId="0" applyBorder="1" applyAlignment="1">
      <alignment horizontal="center" vertical="top" wrapText="1"/>
    </xf>
    <xf numFmtId="0" fontId="4" fillId="0" borderId="48" xfId="0" applyFont="1" applyBorder="1" applyAlignment="1">
      <alignment horizontal="right"/>
    </xf>
    <xf numFmtId="0" fontId="4" fillId="0" borderId="36" xfId="0" applyFont="1" applyBorder="1" applyAlignment="1">
      <alignment horizontal="right"/>
    </xf>
    <xf numFmtId="9" fontId="30" fillId="0" borderId="67" xfId="1" applyFont="1" applyBorder="1" applyAlignment="1">
      <alignment horizontal="center"/>
    </xf>
    <xf numFmtId="0" fontId="0" fillId="2" borderId="1" xfId="0" applyFill="1" applyBorder="1" applyAlignment="1" applyProtection="1">
      <alignment horizontal="center"/>
      <protection locked="0"/>
    </xf>
    <xf numFmtId="0" fontId="11" fillId="2" borderId="1" xfId="0" applyFont="1" applyFill="1" applyBorder="1" applyAlignment="1" applyProtection="1">
      <alignment horizontal="center" vertical="center" wrapText="1"/>
      <protection locked="0"/>
    </xf>
    <xf numFmtId="0" fontId="27" fillId="2" borderId="29" xfId="0" applyFont="1" applyFill="1" applyBorder="1" applyAlignment="1" applyProtection="1">
      <alignment horizontal="center"/>
      <protection locked="0"/>
    </xf>
    <xf numFmtId="1" fontId="13" fillId="0" borderId="29" xfId="0" applyNumberFormat="1" applyFont="1" applyFill="1" applyBorder="1" applyAlignment="1">
      <alignment horizontal="center" vertical="center" wrapText="1"/>
    </xf>
    <xf numFmtId="0" fontId="11" fillId="2" borderId="29" xfId="0" applyFont="1" applyFill="1" applyBorder="1" applyAlignment="1" applyProtection="1">
      <alignment horizontal="center" vertical="center" wrapText="1"/>
      <protection locked="0"/>
    </xf>
    <xf numFmtId="1" fontId="12" fillId="0" borderId="29" xfId="0" applyNumberFormat="1" applyFont="1" applyFill="1" applyBorder="1" applyAlignment="1">
      <alignment horizontal="center" vertical="center"/>
    </xf>
    <xf numFmtId="0" fontId="10" fillId="5" borderId="6" xfId="0" applyFont="1" applyFill="1" applyBorder="1" applyAlignment="1">
      <alignment horizontal="left" vertical="center" wrapText="1"/>
    </xf>
    <xf numFmtId="0" fontId="5" fillId="6" borderId="2" xfId="0" applyFont="1" applyFill="1" applyBorder="1" applyAlignment="1">
      <alignment horizontal="center" vertical="center"/>
    </xf>
    <xf numFmtId="0" fontId="12" fillId="2" borderId="42" xfId="0" applyFont="1" applyFill="1" applyBorder="1" applyAlignment="1">
      <alignment horizontal="center" vertical="center" wrapText="1"/>
    </xf>
    <xf numFmtId="0" fontId="13" fillId="0" borderId="11" xfId="0" applyFont="1" applyFill="1" applyBorder="1" applyAlignment="1">
      <alignment horizontal="center" vertical="top" wrapText="1"/>
    </xf>
    <xf numFmtId="0" fontId="13" fillId="0" borderId="6" xfId="0" applyFont="1" applyFill="1" applyBorder="1" applyAlignment="1">
      <alignment horizontal="center" vertical="top" wrapText="1"/>
    </xf>
    <xf numFmtId="0" fontId="13" fillId="0" borderId="12" xfId="0" applyFont="1" applyFill="1" applyBorder="1" applyAlignment="1">
      <alignment horizontal="center" vertical="top" wrapText="1"/>
    </xf>
    <xf numFmtId="0" fontId="4" fillId="5" borderId="5" xfId="0" applyFont="1" applyFill="1" applyBorder="1" applyAlignment="1">
      <alignment horizontal="left" vertical="center"/>
    </xf>
    <xf numFmtId="0" fontId="4" fillId="5" borderId="6" xfId="0" applyFont="1" applyFill="1" applyBorder="1" applyAlignment="1">
      <alignment horizontal="left" vertical="center"/>
    </xf>
    <xf numFmtId="0" fontId="4" fillId="5" borderId="12" xfId="0" applyFont="1" applyFill="1" applyBorder="1" applyAlignment="1">
      <alignment horizontal="left" vertical="center"/>
    </xf>
    <xf numFmtId="0" fontId="15" fillId="0" borderId="48" xfId="0" applyFont="1" applyBorder="1" applyAlignment="1">
      <alignment horizontal="right"/>
    </xf>
    <xf numFmtId="0" fontId="15" fillId="0" borderId="36" xfId="0" applyFont="1" applyBorder="1" applyAlignment="1">
      <alignment horizontal="right"/>
    </xf>
    <xf numFmtId="1" fontId="2" fillId="0" borderId="36" xfId="0" applyNumberFormat="1" applyFont="1" applyBorder="1" applyAlignment="1">
      <alignment horizontal="center"/>
    </xf>
    <xf numFmtId="0" fontId="2" fillId="0" borderId="36" xfId="0" applyFont="1" applyBorder="1" applyAlignment="1">
      <alignment horizontal="center"/>
    </xf>
    <xf numFmtId="1" fontId="11" fillId="0" borderId="36" xfId="0" applyNumberFormat="1" applyFont="1" applyFill="1" applyBorder="1" applyAlignment="1">
      <alignment horizontal="center" vertical="center" wrapText="1"/>
    </xf>
    <xf numFmtId="1" fontId="12" fillId="8" borderId="36" xfId="0" applyNumberFormat="1" applyFont="1" applyFill="1" applyBorder="1" applyAlignment="1">
      <alignment horizontal="center" vertical="center"/>
    </xf>
    <xf numFmtId="1" fontId="12" fillId="0" borderId="36" xfId="0" applyNumberFormat="1" applyFont="1" applyFill="1" applyBorder="1" applyAlignment="1">
      <alignment horizontal="center" vertical="center"/>
    </xf>
    <xf numFmtId="1" fontId="12" fillId="0" borderId="37" xfId="0" applyNumberFormat="1" applyFont="1" applyFill="1" applyBorder="1" applyAlignment="1">
      <alignment horizontal="center" vertical="center"/>
    </xf>
    <xf numFmtId="0" fontId="5" fillId="9" borderId="46" xfId="0" applyFont="1" applyFill="1" applyBorder="1" applyAlignment="1">
      <alignment horizontal="center"/>
    </xf>
    <xf numFmtId="1" fontId="0" fillId="11" borderId="1" xfId="0" applyNumberFormat="1" applyFill="1" applyBorder="1" applyAlignment="1" applyProtection="1">
      <alignment horizontal="center" vertical="center"/>
      <protection locked="0"/>
    </xf>
    <xf numFmtId="1" fontId="13" fillId="0" borderId="11" xfId="0" applyNumberFormat="1" applyFont="1" applyFill="1" applyBorder="1" applyAlignment="1">
      <alignment horizontal="center" vertical="center" wrapText="1"/>
    </xf>
    <xf numFmtId="1" fontId="13" fillId="0" borderId="6" xfId="0" applyNumberFormat="1" applyFont="1" applyFill="1" applyBorder="1" applyAlignment="1">
      <alignment horizontal="center" vertical="center" wrapText="1"/>
    </xf>
    <xf numFmtId="1" fontId="13" fillId="0" borderId="12" xfId="0" applyNumberFormat="1" applyFont="1" applyFill="1" applyBorder="1" applyAlignment="1">
      <alignment horizontal="center" vertical="center" wrapText="1"/>
    </xf>
    <xf numFmtId="1" fontId="11" fillId="11" borderId="1" xfId="0" applyNumberFormat="1" applyFont="1" applyFill="1" applyBorder="1" applyAlignment="1" applyProtection="1">
      <alignment horizontal="center" vertical="center" wrapText="1"/>
      <protection locked="0"/>
    </xf>
    <xf numFmtId="1" fontId="12" fillId="11" borderId="1" xfId="0" applyNumberFormat="1" applyFont="1" applyFill="1" applyBorder="1" applyAlignment="1" applyProtection="1">
      <alignment horizontal="center" vertical="center"/>
      <protection locked="0"/>
    </xf>
    <xf numFmtId="1" fontId="12" fillId="0" borderId="1" xfId="0" applyNumberFormat="1" applyFont="1" applyFill="1" applyBorder="1" applyAlignment="1" applyProtection="1">
      <alignment horizontal="center" vertical="center"/>
      <protection locked="0"/>
    </xf>
    <xf numFmtId="1" fontId="13" fillId="8" borderId="11" xfId="0" applyNumberFormat="1" applyFont="1" applyFill="1" applyBorder="1" applyAlignment="1">
      <alignment horizontal="center" vertical="center" wrapText="1"/>
    </xf>
    <xf numFmtId="1" fontId="13" fillId="8" borderId="6" xfId="0" applyNumberFormat="1" applyFont="1" applyFill="1" applyBorder="1" applyAlignment="1">
      <alignment horizontal="center" vertical="center" wrapText="1"/>
    </xf>
    <xf numFmtId="1" fontId="13" fillId="8" borderId="12"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1" fontId="12" fillId="8"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1" fontId="17" fillId="5" borderId="1" xfId="0" applyNumberFormat="1" applyFont="1" applyFill="1" applyBorder="1" applyAlignment="1">
      <alignment horizontal="center" vertical="center" wrapText="1"/>
    </xf>
    <xf numFmtId="1" fontId="10" fillId="5" borderId="1" xfId="0" applyNumberFormat="1" applyFont="1" applyFill="1" applyBorder="1" applyAlignment="1">
      <alignment horizontal="center" vertical="center"/>
    </xf>
    <xf numFmtId="1" fontId="11" fillId="0" borderId="1" xfId="0" applyNumberFormat="1" applyFont="1" applyFill="1" applyBorder="1" applyAlignment="1" applyProtection="1">
      <alignment horizontal="center" vertical="center" wrapText="1"/>
      <protection locked="0"/>
    </xf>
    <xf numFmtId="0" fontId="0" fillId="2" borderId="11" xfId="0"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1" fontId="17" fillId="0" borderId="1" xfId="0" applyNumberFormat="1" applyFont="1" applyFill="1" applyBorder="1" applyAlignment="1">
      <alignment horizontal="center" vertical="center" wrapText="1"/>
    </xf>
    <xf numFmtId="1" fontId="10" fillId="5" borderId="1" xfId="0" applyNumberFormat="1" applyFont="1" applyFill="1" applyBorder="1" applyAlignment="1">
      <alignment horizontal="center" vertical="center" wrapText="1"/>
    </xf>
    <xf numFmtId="0" fontId="5" fillId="6" borderId="19" xfId="0" applyFont="1" applyFill="1" applyBorder="1" applyAlignment="1">
      <alignment horizontal="center" vertical="center"/>
    </xf>
    <xf numFmtId="0" fontId="0" fillId="2" borderId="41" xfId="0" applyFill="1" applyBorder="1" applyAlignment="1">
      <alignment horizontal="center"/>
    </xf>
    <xf numFmtId="0" fontId="18" fillId="0" borderId="13" xfId="0" applyFont="1" applyBorder="1" applyAlignment="1">
      <alignment horizontal="center" vertical="center" wrapText="1"/>
    </xf>
    <xf numFmtId="1" fontId="2" fillId="0" borderId="40" xfId="0" applyNumberFormat="1" applyFont="1" applyBorder="1" applyAlignment="1">
      <alignment horizontal="center" vertical="center"/>
    </xf>
    <xf numFmtId="0" fontId="2" fillId="0" borderId="54" xfId="0" applyFont="1" applyBorder="1" applyAlignment="1">
      <alignment horizontal="center" vertical="center"/>
    </xf>
    <xf numFmtId="0" fontId="2" fillId="0" borderId="35" xfId="0" applyFont="1" applyBorder="1" applyAlignment="1">
      <alignment horizontal="center" vertical="center"/>
    </xf>
    <xf numFmtId="1" fontId="2" fillId="0" borderId="35" xfId="0" applyNumberFormat="1" applyFont="1" applyBorder="1" applyAlignment="1">
      <alignment horizontal="center" vertical="center"/>
    </xf>
    <xf numFmtId="1" fontId="2" fillId="8" borderId="40" xfId="0" applyNumberFormat="1" applyFont="1" applyFill="1" applyBorder="1" applyAlignment="1">
      <alignment horizontal="center" vertical="center"/>
    </xf>
    <xf numFmtId="1" fontId="2" fillId="8" borderId="35" xfId="0" applyNumberFormat="1" applyFont="1" applyFill="1" applyBorder="1" applyAlignment="1">
      <alignment horizontal="center" vertical="center"/>
    </xf>
    <xf numFmtId="1" fontId="2" fillId="0" borderId="55" xfId="0" applyNumberFormat="1" applyFont="1" applyBorder="1" applyAlignment="1">
      <alignment horizontal="center" vertical="center"/>
    </xf>
    <xf numFmtId="0" fontId="16" fillId="0" borderId="34" xfId="0" applyFont="1" applyBorder="1" applyAlignment="1">
      <alignment horizontal="right" vertical="center" wrapText="1"/>
    </xf>
    <xf numFmtId="0" fontId="18" fillId="2" borderId="1" xfId="0" applyFont="1" applyFill="1" applyBorder="1" applyAlignment="1" applyProtection="1">
      <alignment horizontal="center" vertical="center" wrapText="1"/>
      <protection locked="0"/>
    </xf>
    <xf numFmtId="0" fontId="18" fillId="0" borderId="5" xfId="0" applyFont="1" applyBorder="1" applyAlignment="1">
      <alignment horizontal="left" vertical="center" wrapText="1"/>
    </xf>
    <xf numFmtId="0" fontId="18" fillId="0" borderId="12" xfId="0" applyFont="1" applyBorder="1" applyAlignment="1">
      <alignment horizontal="left" vertical="center" wrapText="1"/>
    </xf>
    <xf numFmtId="0" fontId="17" fillId="0" borderId="1" xfId="0" applyFont="1" applyBorder="1" applyAlignment="1">
      <alignment horizontal="center" vertical="center" wrapText="1"/>
    </xf>
    <xf numFmtId="0" fontId="18" fillId="0" borderId="29" xfId="0" applyFont="1" applyFill="1" applyBorder="1" applyAlignment="1">
      <alignment horizontal="left" vertical="center" wrapText="1"/>
    </xf>
    <xf numFmtId="0" fontId="18" fillId="2" borderId="29" xfId="0" applyFont="1" applyFill="1" applyBorder="1" applyAlignment="1" applyProtection="1">
      <alignment horizontal="center" vertical="center" wrapText="1"/>
      <protection locked="0"/>
    </xf>
    <xf numFmtId="1" fontId="16" fillId="0" borderId="36" xfId="0" applyNumberFormat="1" applyFont="1" applyBorder="1" applyAlignment="1">
      <alignment horizontal="center" vertical="center" wrapText="1"/>
    </xf>
    <xf numFmtId="0" fontId="18" fillId="0" borderId="31" xfId="0" applyFont="1" applyFill="1" applyBorder="1" applyAlignment="1">
      <alignment horizontal="left" vertical="center" wrapText="1"/>
    </xf>
    <xf numFmtId="0" fontId="18" fillId="0" borderId="32" xfId="0" applyFont="1" applyFill="1" applyBorder="1" applyAlignment="1">
      <alignment horizontal="left" vertical="center" wrapText="1"/>
    </xf>
    <xf numFmtId="0" fontId="17" fillId="0" borderId="33"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59"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52" xfId="0" applyFont="1" applyBorder="1" applyAlignment="1">
      <alignment horizontal="center" vertical="center" wrapText="1"/>
    </xf>
    <xf numFmtId="1" fontId="17" fillId="0" borderId="33" xfId="0" applyNumberFormat="1" applyFont="1" applyFill="1" applyBorder="1" applyAlignment="1">
      <alignment horizontal="center" vertical="center" wrapText="1"/>
    </xf>
    <xf numFmtId="1" fontId="17" fillId="0" borderId="32" xfId="0" applyNumberFormat="1" applyFont="1" applyFill="1" applyBorder="1" applyAlignment="1">
      <alignment horizontal="center" vertical="center" wrapText="1"/>
    </xf>
    <xf numFmtId="1" fontId="17" fillId="0" borderId="43" xfId="0" applyNumberFormat="1" applyFont="1" applyFill="1" applyBorder="1" applyAlignment="1">
      <alignment horizontal="center" vertical="center" wrapText="1"/>
    </xf>
    <xf numFmtId="1" fontId="17" fillId="0" borderId="59" xfId="0" applyNumberFormat="1"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3" fillId="0" borderId="1" xfId="0" applyFont="1" applyBorder="1" applyAlignment="1">
      <alignment horizontal="center" vertical="center"/>
    </xf>
    <xf numFmtId="1" fontId="17" fillId="0" borderId="36" xfId="0" applyNumberFormat="1" applyFont="1" applyBorder="1" applyAlignment="1">
      <alignment horizontal="center" vertical="center" wrapText="1"/>
    </xf>
    <xf numFmtId="0" fontId="5" fillId="3" borderId="44" xfId="0" applyFont="1" applyFill="1" applyBorder="1" applyAlignment="1">
      <alignment horizontal="center"/>
    </xf>
    <xf numFmtId="0" fontId="5" fillId="3" borderId="45" xfId="0" applyFont="1" applyFill="1" applyBorder="1" applyAlignment="1">
      <alignment horizontal="center"/>
    </xf>
    <xf numFmtId="0" fontId="5" fillId="3" borderId="46" xfId="0" applyFont="1" applyFill="1" applyBorder="1" applyAlignment="1">
      <alignment horizontal="center"/>
    </xf>
    <xf numFmtId="0" fontId="3" fillId="0" borderId="1" xfId="0" applyFont="1" applyBorder="1" applyAlignment="1">
      <alignment horizontal="left" vertical="center" wrapText="1"/>
    </xf>
    <xf numFmtId="1"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 fontId="4" fillId="0" borderId="1" xfId="0" applyNumberFormat="1" applyFont="1" applyBorder="1" applyAlignment="1">
      <alignment horizontal="center" vertical="center"/>
    </xf>
    <xf numFmtId="0" fontId="30" fillId="2" borderId="1" xfId="0" applyFont="1" applyFill="1" applyBorder="1" applyAlignment="1" applyProtection="1">
      <alignment horizontal="center" wrapText="1"/>
      <protection locked="0"/>
    </xf>
    <xf numFmtId="0" fontId="30" fillId="2" borderId="14" xfId="0" applyFont="1" applyFill="1" applyBorder="1" applyAlignment="1" applyProtection="1">
      <alignment horizontal="center" wrapText="1"/>
      <protection locked="0"/>
    </xf>
    <xf numFmtId="0" fontId="9" fillId="5" borderId="1" xfId="0" applyFont="1" applyFill="1" applyBorder="1" applyAlignment="1">
      <alignment horizontal="center" vertical="center"/>
    </xf>
    <xf numFmtId="0" fontId="33" fillId="6" borderId="1" xfId="0" applyFont="1" applyFill="1" applyBorder="1" applyAlignment="1">
      <alignment horizontal="center" vertical="center"/>
    </xf>
    <xf numFmtId="0" fontId="33" fillId="6" borderId="14" xfId="0" applyFont="1" applyFill="1" applyBorder="1" applyAlignment="1">
      <alignment horizontal="center" vertical="center"/>
    </xf>
    <xf numFmtId="0" fontId="3" fillId="0" borderId="36" xfId="0" applyFont="1" applyBorder="1" applyAlignment="1">
      <alignment horizontal="left" vertical="center" wrapText="1"/>
    </xf>
    <xf numFmtId="0" fontId="3" fillId="0" borderId="36" xfId="0" applyFont="1" applyFill="1" applyBorder="1" applyAlignment="1">
      <alignment horizontal="center" vertical="center" wrapText="1"/>
    </xf>
    <xf numFmtId="1" fontId="4" fillId="0" borderId="36" xfId="0" applyNumberFormat="1" applyFont="1" applyBorder="1" applyAlignment="1">
      <alignment horizontal="center" vertical="center"/>
    </xf>
    <xf numFmtId="0" fontId="30" fillId="8" borderId="36" xfId="0" applyFont="1" applyFill="1" applyBorder="1" applyAlignment="1">
      <alignment horizontal="center" wrapText="1"/>
    </xf>
    <xf numFmtId="0" fontId="30" fillId="8" borderId="37" xfId="0" applyFont="1" applyFill="1" applyBorder="1" applyAlignment="1">
      <alignment horizontal="center" wrapText="1"/>
    </xf>
    <xf numFmtId="0" fontId="3" fillId="0" borderId="50" xfId="0" applyFont="1" applyBorder="1" applyAlignment="1">
      <alignment horizontal="left" vertical="center" wrapText="1"/>
    </xf>
    <xf numFmtId="1" fontId="3" fillId="0" borderId="50"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1" fontId="4" fillId="0" borderId="50" xfId="0" applyNumberFormat="1" applyFont="1" applyBorder="1" applyAlignment="1">
      <alignment horizontal="center" vertical="center"/>
    </xf>
    <xf numFmtId="0" fontId="30" fillId="2" borderId="50" xfId="0" applyFont="1" applyFill="1" applyBorder="1" applyAlignment="1" applyProtection="1">
      <alignment horizontal="center" wrapText="1"/>
      <protection locked="0"/>
    </xf>
    <xf numFmtId="0" fontId="30" fillId="2" borderId="61" xfId="0" applyFont="1" applyFill="1" applyBorder="1" applyAlignment="1" applyProtection="1">
      <alignment horizontal="center" wrapText="1"/>
      <protection locked="0"/>
    </xf>
    <xf numFmtId="0" fontId="3" fillId="0" borderId="29" xfId="0" applyFont="1" applyBorder="1" applyAlignment="1">
      <alignment horizontal="left" vertical="center" wrapText="1"/>
    </xf>
    <xf numFmtId="1" fontId="3" fillId="0" borderId="29" xfId="0" applyNumberFormat="1" applyFont="1" applyFill="1" applyBorder="1" applyAlignment="1">
      <alignment horizontal="center" vertical="center" wrapText="1"/>
    </xf>
    <xf numFmtId="0" fontId="3" fillId="0" borderId="29" xfId="0" applyFont="1" applyFill="1" applyBorder="1" applyAlignment="1">
      <alignment horizontal="center" vertical="center" wrapText="1"/>
    </xf>
    <xf numFmtId="1" fontId="4" fillId="0" borderId="29" xfId="0" applyNumberFormat="1" applyFont="1" applyBorder="1" applyAlignment="1">
      <alignment horizontal="center" vertical="center"/>
    </xf>
    <xf numFmtId="0" fontId="30" fillId="2" borderId="29" xfId="0" applyFont="1" applyFill="1" applyBorder="1" applyAlignment="1" applyProtection="1">
      <alignment horizontal="center" wrapText="1"/>
      <protection locked="0"/>
    </xf>
    <xf numFmtId="0" fontId="30" fillId="2" borderId="47" xfId="0" applyFont="1" applyFill="1" applyBorder="1" applyAlignment="1" applyProtection="1">
      <alignment horizontal="center" wrapText="1"/>
      <protection locked="0"/>
    </xf>
    <xf numFmtId="0" fontId="3" fillId="0" borderId="1" xfId="0" applyFont="1" applyBorder="1" applyAlignment="1">
      <alignment horizontal="center"/>
    </xf>
    <xf numFmtId="0" fontId="4" fillId="0" borderId="9" xfId="0" applyFont="1" applyBorder="1" applyAlignment="1">
      <alignment horizontal="center" vertical="center" wrapText="1"/>
    </xf>
    <xf numFmtId="0" fontId="4" fillId="0" borderId="38" xfId="0" applyFont="1" applyBorder="1" applyAlignment="1">
      <alignment horizontal="center" vertical="center" wrapText="1"/>
    </xf>
    <xf numFmtId="0" fontId="33" fillId="5" borderId="5" xfId="0" applyFont="1" applyFill="1" applyBorder="1" applyAlignment="1">
      <alignment horizontal="left" vertical="center" wrapText="1"/>
    </xf>
    <xf numFmtId="0" fontId="33" fillId="5" borderId="6" xfId="0" applyFont="1" applyFill="1" applyBorder="1" applyAlignment="1">
      <alignment horizontal="left" vertical="center" wrapText="1"/>
    </xf>
    <xf numFmtId="1" fontId="3" fillId="0" borderId="36" xfId="0" applyNumberFormat="1" applyFont="1" applyFill="1" applyBorder="1" applyAlignment="1">
      <alignment horizontal="center" vertical="center" wrapText="1"/>
    </xf>
    <xf numFmtId="0" fontId="5" fillId="9" borderId="2" xfId="0" applyFont="1" applyFill="1" applyBorder="1" applyAlignment="1">
      <alignment horizontal="center" wrapText="1"/>
    </xf>
    <xf numFmtId="0" fontId="5" fillId="9" borderId="3" xfId="0" applyFont="1" applyFill="1" applyBorder="1" applyAlignment="1">
      <alignment horizontal="center" wrapText="1"/>
    </xf>
    <xf numFmtId="0" fontId="5" fillId="6" borderId="1" xfId="0" applyFont="1" applyFill="1" applyBorder="1" applyAlignment="1">
      <alignment horizontal="center" vertical="center"/>
    </xf>
    <xf numFmtId="0" fontId="5" fillId="6" borderId="14" xfId="0" applyFont="1" applyFill="1" applyBorder="1" applyAlignment="1">
      <alignment horizontal="center" vertical="center"/>
    </xf>
    <xf numFmtId="0" fontId="5" fillId="6" borderId="29" xfId="0" applyFont="1" applyFill="1" applyBorder="1" applyAlignment="1">
      <alignment horizontal="center" vertical="center"/>
    </xf>
    <xf numFmtId="0" fontId="5" fillId="6" borderId="47" xfId="0" applyFont="1" applyFill="1" applyBorder="1" applyAlignment="1">
      <alignment horizontal="center" vertical="center"/>
    </xf>
    <xf numFmtId="0" fontId="4" fillId="0" borderId="1" xfId="0" applyFont="1" applyBorder="1" applyAlignment="1">
      <alignment horizontal="center" vertical="center" wrapText="1"/>
    </xf>
    <xf numFmtId="0" fontId="33" fillId="5" borderId="12" xfId="0" applyFont="1" applyFill="1" applyBorder="1" applyAlignment="1">
      <alignment horizontal="left" vertical="center" wrapText="1"/>
    </xf>
    <xf numFmtId="0" fontId="5" fillId="0" borderId="1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13" fillId="0" borderId="39" xfId="0" applyFont="1" applyBorder="1" applyAlignment="1">
      <alignment horizontal="center" vertical="center" wrapText="1"/>
    </xf>
    <xf numFmtId="0" fontId="13" fillId="0" borderId="29" xfId="0" applyFont="1" applyBorder="1" applyAlignment="1">
      <alignment horizontal="center" vertical="center" wrapText="1"/>
    </xf>
    <xf numFmtId="0" fontId="0" fillId="0" borderId="29" xfId="0" applyBorder="1" applyAlignment="1">
      <alignment horizontal="center" wrapText="1"/>
    </xf>
    <xf numFmtId="0" fontId="0" fillId="0" borderId="33"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11" borderId="1" xfId="0" applyFill="1" applyBorder="1" applyAlignment="1" applyProtection="1">
      <alignment horizontal="center"/>
      <protection locked="0"/>
    </xf>
    <xf numFmtId="0" fontId="0" fillId="0" borderId="12" xfId="0" applyBorder="1" applyAlignment="1">
      <alignment horizontal="center" vertical="center" wrapText="1"/>
    </xf>
    <xf numFmtId="0" fontId="0" fillId="2" borderId="12" xfId="0" applyFill="1" applyBorder="1" applyAlignment="1" applyProtection="1">
      <alignment horizontal="center" vertical="center" wrapText="1"/>
      <protection locked="0"/>
    </xf>
    <xf numFmtId="0" fontId="0" fillId="2" borderId="29" xfId="0" applyFill="1" applyBorder="1" applyAlignment="1" applyProtection="1">
      <alignment horizontal="center" wrapText="1"/>
      <protection locked="0"/>
    </xf>
    <xf numFmtId="0" fontId="0" fillId="2" borderId="33" xfId="0" applyFill="1" applyBorder="1" applyAlignment="1" applyProtection="1">
      <alignment horizontal="center" wrapText="1"/>
      <protection locked="0"/>
    </xf>
    <xf numFmtId="0" fontId="0" fillId="2" borderId="1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0" borderId="44" xfId="0" applyBorder="1" applyAlignment="1">
      <alignment horizontal="left"/>
    </xf>
    <xf numFmtId="0" fontId="0" fillId="0" borderId="45" xfId="0" applyBorder="1" applyAlignment="1">
      <alignment horizontal="left"/>
    </xf>
    <xf numFmtId="0" fontId="0" fillId="0" borderId="49" xfId="0" applyBorder="1" applyAlignment="1">
      <alignment horizontal="left"/>
    </xf>
    <xf numFmtId="1" fontId="2" fillId="2" borderId="66" xfId="0" applyNumberFormat="1" applyFont="1" applyFill="1" applyBorder="1" applyAlignment="1" applyProtection="1">
      <alignment horizontal="center" vertical="center"/>
      <protection locked="0"/>
    </xf>
    <xf numFmtId="1" fontId="2" fillId="2" borderId="49" xfId="0" applyNumberFormat="1" applyFont="1" applyFill="1" applyBorder="1" applyAlignment="1" applyProtection="1">
      <alignment horizontal="center" vertical="center"/>
      <protection locked="0"/>
    </xf>
    <xf numFmtId="0" fontId="0" fillId="0" borderId="34" xfId="0" applyBorder="1" applyAlignment="1">
      <alignment horizontal="left"/>
    </xf>
    <xf numFmtId="0" fontId="0" fillId="0" borderId="54" xfId="0" applyBorder="1" applyAlignment="1">
      <alignment horizontal="left"/>
    </xf>
    <xf numFmtId="0" fontId="0" fillId="0" borderId="35" xfId="0" applyBorder="1" applyAlignment="1">
      <alignment horizontal="left"/>
    </xf>
    <xf numFmtId="1" fontId="2" fillId="2" borderId="40" xfId="0" applyNumberFormat="1" applyFont="1" applyFill="1" applyBorder="1" applyAlignment="1" applyProtection="1">
      <alignment horizontal="center"/>
      <protection locked="0"/>
    </xf>
    <xf numFmtId="1" fontId="2" fillId="2" borderId="35" xfId="0" applyNumberFormat="1" applyFont="1" applyFill="1" applyBorder="1" applyAlignment="1" applyProtection="1">
      <alignment horizontal="center"/>
      <protection locked="0"/>
    </xf>
    <xf numFmtId="9" fontId="11" fillId="0" borderId="1" xfId="1" applyFont="1" applyBorder="1" applyAlignment="1">
      <alignment horizontal="center" vertical="center"/>
    </xf>
    <xf numFmtId="0" fontId="0" fillId="0" borderId="12" xfId="0" applyBorder="1" applyAlignment="1">
      <alignment horizontal="center"/>
    </xf>
    <xf numFmtId="0" fontId="70" fillId="0" borderId="33" xfId="0" applyFont="1" applyBorder="1" applyAlignment="1">
      <alignment horizontal="center" vertical="center" wrapText="1"/>
    </xf>
    <xf numFmtId="0" fontId="70" fillId="0" borderId="38" xfId="0" applyFont="1" applyBorder="1" applyAlignment="1">
      <alignment horizontal="center" vertical="center" wrapText="1"/>
    </xf>
    <xf numFmtId="1" fontId="11" fillId="2" borderId="29" xfId="0" applyNumberFormat="1" applyFont="1" applyFill="1" applyBorder="1" applyAlignment="1" applyProtection="1">
      <alignment horizontal="center"/>
      <protection locked="0"/>
    </xf>
    <xf numFmtId="9" fontId="11" fillId="0" borderId="29" xfId="1" applyFont="1" applyBorder="1" applyAlignment="1">
      <alignment horizontal="center" vertical="center"/>
    </xf>
    <xf numFmtId="0" fontId="10" fillId="5" borderId="13" xfId="0" applyFont="1" applyFill="1" applyBorder="1" applyAlignment="1">
      <alignment vertical="center" wrapText="1"/>
    </xf>
    <xf numFmtId="0" fontId="10" fillId="5" borderId="1" xfId="0" applyFont="1" applyFill="1" applyBorder="1" applyAlignment="1">
      <alignment vertical="center" wrapText="1"/>
    </xf>
    <xf numFmtId="0" fontId="11" fillId="0" borderId="34" xfId="0" applyFont="1" applyBorder="1" applyAlignment="1">
      <alignment horizontal="right" vertical="center" wrapText="1"/>
    </xf>
    <xf numFmtId="0" fontId="11" fillId="0" borderId="35" xfId="0" applyFont="1" applyBorder="1" applyAlignment="1">
      <alignment horizontal="right" vertical="center" wrapText="1"/>
    </xf>
    <xf numFmtId="1" fontId="11" fillId="0" borderId="40" xfId="0" applyNumberFormat="1" applyFont="1" applyBorder="1" applyAlignment="1">
      <alignment horizontal="center" vertical="center" wrapText="1"/>
    </xf>
    <xf numFmtId="0" fontId="11" fillId="0" borderId="35" xfId="0" applyFont="1" applyBorder="1" applyAlignment="1">
      <alignment horizontal="center" vertical="center" wrapText="1"/>
    </xf>
    <xf numFmtId="1" fontId="2" fillId="0" borderId="40" xfId="0" applyNumberFormat="1" applyFont="1" applyBorder="1" applyAlignment="1">
      <alignment horizontal="center" vertical="center" wrapText="1"/>
    </xf>
    <xf numFmtId="0" fontId="2" fillId="0" borderId="35" xfId="0" applyFont="1" applyBorder="1" applyAlignment="1">
      <alignment horizontal="center" vertical="center" wrapText="1"/>
    </xf>
    <xf numFmtId="9" fontId="11" fillId="0" borderId="40" xfId="1" applyFont="1" applyFill="1" applyBorder="1" applyAlignment="1">
      <alignment horizontal="center" vertical="center" wrapText="1"/>
    </xf>
    <xf numFmtId="9" fontId="11" fillId="0" borderId="35" xfId="1" applyFont="1" applyFill="1" applyBorder="1" applyAlignment="1">
      <alignment horizontal="center" vertical="center" wrapText="1"/>
    </xf>
    <xf numFmtId="0" fontId="5" fillId="9" borderId="4" xfId="0" applyFont="1" applyFill="1" applyBorder="1" applyAlignment="1">
      <alignment horizontal="center"/>
    </xf>
    <xf numFmtId="0" fontId="12" fillId="0" borderId="39" xfId="0" applyFont="1" applyBorder="1" applyAlignment="1">
      <alignment horizontal="left" vertical="top" wrapText="1"/>
    </xf>
    <xf numFmtId="0" fontId="12" fillId="0" borderId="29" xfId="0" applyFont="1" applyBorder="1" applyAlignment="1">
      <alignment horizontal="left" vertical="top" wrapText="1"/>
    </xf>
    <xf numFmtId="0" fontId="3" fillId="0" borderId="11" xfId="0" applyFont="1" applyBorder="1" applyAlignment="1">
      <alignment horizontal="left" vertical="center" wrapText="1"/>
    </xf>
    <xf numFmtId="0" fontId="3" fillId="0" borderId="12" xfId="0" applyFont="1" applyBorder="1" applyAlignment="1">
      <alignment horizontal="center" vertical="center" wrapText="1"/>
    </xf>
    <xf numFmtId="0" fontId="5" fillId="0" borderId="44" xfId="0" applyFont="1" applyFill="1" applyBorder="1" applyAlignment="1">
      <alignment horizontal="center"/>
    </xf>
    <xf numFmtId="0" fontId="5" fillId="0" borderId="45" xfId="0" applyFont="1" applyFill="1" applyBorder="1" applyAlignment="1">
      <alignment horizontal="center"/>
    </xf>
    <xf numFmtId="0" fontId="5" fillId="0" borderId="46" xfId="0" applyFont="1" applyFill="1" applyBorder="1" applyAlignment="1">
      <alignment horizontal="center"/>
    </xf>
    <xf numFmtId="0" fontId="5" fillId="0" borderId="23" xfId="0" applyFont="1" applyFill="1" applyBorder="1" applyAlignment="1">
      <alignment horizontal="center"/>
    </xf>
    <xf numFmtId="0" fontId="5" fillId="0" borderId="0" xfId="0" applyFont="1" applyFill="1" applyBorder="1" applyAlignment="1">
      <alignment horizontal="center"/>
    </xf>
    <xf numFmtId="0" fontId="5" fillId="0" borderId="30" xfId="0" applyFont="1" applyFill="1" applyBorder="1" applyAlignment="1">
      <alignment horizontal="center"/>
    </xf>
    <xf numFmtId="0" fontId="3" fillId="0" borderId="14" xfId="0" applyFont="1" applyFill="1" applyBorder="1" applyAlignment="1">
      <alignment horizontal="center" vertical="center" wrapText="1"/>
    </xf>
    <xf numFmtId="0" fontId="3" fillId="0" borderId="61" xfId="0" applyFont="1" applyFill="1" applyBorder="1" applyAlignment="1">
      <alignment horizontal="center" vertical="center" wrapText="1"/>
    </xf>
    <xf numFmtId="1" fontId="3" fillId="0" borderId="48" xfId="0" applyNumberFormat="1" applyFont="1" applyFill="1" applyBorder="1" applyAlignment="1">
      <alignment horizontal="center" vertical="center" wrapText="1"/>
    </xf>
    <xf numFmtId="0" fontId="3" fillId="0" borderId="37" xfId="0" applyFont="1" applyFill="1" applyBorder="1" applyAlignment="1">
      <alignment horizontal="center" vertical="center" wrapText="1"/>
    </xf>
    <xf numFmtId="0" fontId="0" fillId="2" borderId="29" xfId="0" applyFill="1" applyBorder="1" applyAlignment="1">
      <alignment horizontal="center" vertical="center"/>
    </xf>
    <xf numFmtId="1" fontId="11" fillId="2" borderId="29" xfId="0" applyNumberFormat="1" applyFont="1" applyFill="1" applyBorder="1" applyAlignment="1">
      <alignment horizontal="center" vertical="center" wrapText="1"/>
    </xf>
    <xf numFmtId="1" fontId="11" fillId="2" borderId="33" xfId="0" applyNumberFormat="1" applyFont="1" applyFill="1" applyBorder="1" applyAlignment="1">
      <alignment horizontal="center" vertical="center" wrapText="1"/>
    </xf>
    <xf numFmtId="1" fontId="13" fillId="8" borderId="17" xfId="0" applyNumberFormat="1" applyFont="1" applyFill="1" applyBorder="1" applyAlignment="1">
      <alignment horizontal="center" vertical="center" wrapText="1"/>
    </xf>
    <xf numFmtId="1" fontId="13" fillId="8" borderId="51" xfId="0" applyNumberFormat="1" applyFont="1" applyFill="1" applyBorder="1" applyAlignment="1">
      <alignment horizontal="center" vertical="center" wrapText="1"/>
    </xf>
    <xf numFmtId="0" fontId="15" fillId="0" borderId="63" xfId="0" applyFont="1" applyBorder="1" applyAlignment="1">
      <alignment horizontal="center"/>
    </xf>
    <xf numFmtId="0" fontId="15" fillId="0" borderId="69" xfId="0" applyFont="1" applyBorder="1" applyAlignment="1">
      <alignment horizontal="center"/>
    </xf>
    <xf numFmtId="0" fontId="15" fillId="0" borderId="51" xfId="0" applyFont="1" applyBorder="1" applyAlignment="1">
      <alignment horizontal="center"/>
    </xf>
    <xf numFmtId="1" fontId="0" fillId="13" borderId="11" xfId="0" applyNumberFormat="1" applyFill="1" applyBorder="1" applyAlignment="1">
      <alignment horizontal="center"/>
    </xf>
    <xf numFmtId="1" fontId="0" fillId="13" borderId="12" xfId="0" applyNumberFormat="1" applyFill="1" applyBorder="1" applyAlignment="1">
      <alignment horizontal="center"/>
    </xf>
    <xf numFmtId="1" fontId="0" fillId="2" borderId="11" xfId="0" applyNumberFormat="1" applyFill="1" applyBorder="1" applyAlignment="1">
      <alignment horizontal="center"/>
    </xf>
    <xf numFmtId="1" fontId="0" fillId="2" borderId="12" xfId="0" applyNumberFormat="1" applyFill="1" applyBorder="1" applyAlignment="1">
      <alignment horizontal="center"/>
    </xf>
    <xf numFmtId="1" fontId="11" fillId="2" borderId="1" xfId="0" applyNumberFormat="1" applyFont="1" applyFill="1" applyBorder="1" applyAlignment="1">
      <alignment horizontal="center" vertical="center" wrapText="1"/>
    </xf>
    <xf numFmtId="1" fontId="11" fillId="2" borderId="14" xfId="0" applyNumberFormat="1" applyFont="1" applyFill="1" applyBorder="1" applyAlignment="1">
      <alignment horizontal="center" vertical="center" wrapText="1"/>
    </xf>
    <xf numFmtId="0" fontId="0" fillId="2" borderId="1" xfId="0" applyFill="1" applyBorder="1" applyAlignment="1">
      <alignment horizontal="center" vertical="center"/>
    </xf>
    <xf numFmtId="1" fontId="11" fillId="2" borderId="11" xfId="0" applyNumberFormat="1" applyFont="1" applyFill="1" applyBorder="1" applyAlignment="1">
      <alignment horizontal="center" vertical="center" wrapText="1"/>
    </xf>
    <xf numFmtId="0" fontId="18" fillId="11" borderId="39" xfId="0" applyFont="1" applyFill="1" applyBorder="1" applyAlignment="1">
      <alignment horizontal="left" vertical="center" wrapText="1"/>
    </xf>
    <xf numFmtId="0" fontId="18" fillId="11" borderId="29" xfId="0" applyFont="1" applyFill="1" applyBorder="1" applyAlignment="1">
      <alignment horizontal="left" vertical="center" wrapText="1"/>
    </xf>
    <xf numFmtId="1" fontId="18" fillId="11" borderId="29" xfId="0" applyNumberFormat="1" applyFont="1" applyFill="1" applyBorder="1" applyAlignment="1">
      <alignment horizontal="center" vertical="center" wrapText="1"/>
    </xf>
    <xf numFmtId="1" fontId="18" fillId="11" borderId="33" xfId="0" applyNumberFormat="1" applyFont="1" applyFill="1" applyBorder="1" applyAlignment="1">
      <alignment horizontal="center" vertical="center" wrapText="1"/>
    </xf>
    <xf numFmtId="1" fontId="16" fillId="0" borderId="40" xfId="0" applyNumberFormat="1" applyFont="1" applyBorder="1" applyAlignment="1">
      <alignment horizontal="center" vertical="center" wrapText="1"/>
    </xf>
    <xf numFmtId="0" fontId="0" fillId="0" borderId="36" xfId="0" applyBorder="1" applyAlignment="1">
      <alignment horizontal="center" vertical="center" wrapText="1"/>
    </xf>
    <xf numFmtId="0" fontId="2" fillId="0" borderId="34" xfId="0" applyFont="1" applyBorder="1" applyAlignment="1">
      <alignment horizontal="center" wrapText="1"/>
    </xf>
    <xf numFmtId="0" fontId="2" fillId="0" borderId="35" xfId="0" applyFont="1" applyBorder="1" applyAlignment="1">
      <alignment horizontal="center"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1" fontId="13" fillId="0" borderId="15" xfId="0" applyNumberFormat="1" applyFont="1" applyBorder="1" applyAlignment="1">
      <alignment horizontal="center" vertical="center"/>
    </xf>
    <xf numFmtId="1" fontId="13" fillId="0" borderId="16" xfId="0" applyNumberFormat="1" applyFont="1" applyBorder="1" applyAlignment="1">
      <alignment horizontal="center" vertical="center"/>
    </xf>
    <xf numFmtId="0" fontId="0" fillId="0" borderId="0" xfId="0" applyBorder="1" applyAlignment="1">
      <alignment horizontal="center" vertical="center" wrapText="1"/>
    </xf>
    <xf numFmtId="0" fontId="0" fillId="0" borderId="39" xfId="0" applyBorder="1" applyAlignment="1">
      <alignment horizontal="left"/>
    </xf>
    <xf numFmtId="0" fontId="0" fillId="0" borderId="29" xfId="0" applyBorder="1" applyAlignment="1">
      <alignment horizontal="left"/>
    </xf>
    <xf numFmtId="0" fontId="0" fillId="0" borderId="48" xfId="0" applyBorder="1" applyAlignment="1">
      <alignment horizontal="left"/>
    </xf>
    <xf numFmtId="0" fontId="0" fillId="0" borderId="36" xfId="0" applyBorder="1" applyAlignment="1">
      <alignment horizontal="left"/>
    </xf>
    <xf numFmtId="0" fontId="0" fillId="0" borderId="30" xfId="0" applyBorder="1" applyAlignment="1">
      <alignment horizontal="center" vertical="center" wrapText="1"/>
    </xf>
    <xf numFmtId="0" fontId="5" fillId="9" borderId="46" xfId="0" applyFont="1" applyFill="1" applyBorder="1" applyAlignment="1">
      <alignment horizontal="left"/>
    </xf>
    <xf numFmtId="0" fontId="0" fillId="0" borderId="14" xfId="0" applyBorder="1" applyAlignment="1">
      <alignment horizontal="center" vertical="center" wrapText="1"/>
    </xf>
    <xf numFmtId="0" fontId="0" fillId="5" borderId="1" xfId="0" applyFill="1" applyBorder="1" applyAlignment="1">
      <alignment horizontal="center" vertical="center" wrapText="1"/>
    </xf>
    <xf numFmtId="0" fontId="0" fillId="5" borderId="14" xfId="0" applyFill="1" applyBorder="1" applyAlignment="1">
      <alignment horizontal="center" vertical="center" wrapText="1"/>
    </xf>
    <xf numFmtId="0" fontId="5" fillId="0" borderId="44" xfId="0" applyFont="1" applyFill="1" applyBorder="1" applyAlignment="1">
      <alignment horizontal="center" vertical="center"/>
    </xf>
    <xf numFmtId="0" fontId="5" fillId="0" borderId="45" xfId="0" applyFont="1" applyFill="1" applyBorder="1" applyAlignment="1">
      <alignment horizontal="center" vertical="center"/>
    </xf>
    <xf numFmtId="0" fontId="5" fillId="0" borderId="46" xfId="0" applyFont="1" applyFill="1" applyBorder="1" applyAlignment="1">
      <alignment horizontal="center" vertical="center"/>
    </xf>
    <xf numFmtId="0" fontId="0" fillId="12" borderId="23" xfId="0" applyFill="1" applyBorder="1" applyAlignment="1" applyProtection="1">
      <alignment horizontal="center"/>
      <protection locked="0"/>
    </xf>
    <xf numFmtId="0" fontId="0" fillId="12" borderId="0" xfId="0" applyFill="1" applyBorder="1" applyAlignment="1" applyProtection="1">
      <alignment horizontal="center"/>
      <protection locked="0"/>
    </xf>
    <xf numFmtId="0" fontId="0" fillId="12" borderId="30" xfId="0" applyFill="1" applyBorder="1" applyAlignment="1" applyProtection="1">
      <alignment horizontal="center"/>
      <protection locked="0"/>
    </xf>
    <xf numFmtId="0" fontId="0" fillId="12" borderId="56" xfId="0" applyFill="1" applyBorder="1" applyAlignment="1" applyProtection="1">
      <alignment horizontal="center"/>
      <protection locked="0"/>
    </xf>
    <xf numFmtId="0" fontId="0" fillId="12" borderId="41" xfId="0" applyFill="1" applyBorder="1" applyAlignment="1" applyProtection="1">
      <alignment horizontal="center"/>
      <protection locked="0"/>
    </xf>
    <xf numFmtId="0" fontId="0" fillId="12" borderId="42" xfId="0" applyFill="1" applyBorder="1" applyAlignment="1" applyProtection="1">
      <alignment horizontal="center"/>
      <protection locked="0"/>
    </xf>
    <xf numFmtId="1" fontId="12" fillId="2" borderId="1" xfId="0" applyNumberFormat="1" applyFont="1" applyFill="1" applyBorder="1" applyAlignment="1">
      <alignment horizontal="center" vertical="center"/>
    </xf>
    <xf numFmtId="1" fontId="12" fillId="2" borderId="29" xfId="0" applyNumberFormat="1" applyFont="1" applyFill="1" applyBorder="1" applyAlignment="1">
      <alignment horizontal="center" vertical="center"/>
    </xf>
    <xf numFmtId="0" fontId="0" fillId="12" borderId="23" xfId="0" applyFill="1" applyBorder="1" applyAlignment="1" applyProtection="1">
      <alignment horizontal="center" vertical="center" wrapText="1"/>
      <protection locked="0"/>
    </xf>
    <xf numFmtId="0" fontId="0" fillId="12" borderId="0" xfId="0" applyFill="1" applyBorder="1" applyAlignment="1" applyProtection="1">
      <alignment horizontal="center" vertical="center" wrapText="1"/>
      <protection locked="0"/>
    </xf>
    <xf numFmtId="0" fontId="0" fillId="12" borderId="30" xfId="0" applyFill="1" applyBorder="1" applyAlignment="1" applyProtection="1">
      <alignment horizontal="center" vertical="center" wrapText="1"/>
      <protection locked="0"/>
    </xf>
    <xf numFmtId="0" fontId="0" fillId="12" borderId="56" xfId="0" applyFill="1" applyBorder="1" applyAlignment="1" applyProtection="1">
      <alignment horizontal="center" vertical="center" wrapText="1"/>
      <protection locked="0"/>
    </xf>
    <xf numFmtId="0" fontId="0" fillId="12" borderId="41" xfId="0" applyFill="1" applyBorder="1" applyAlignment="1" applyProtection="1">
      <alignment horizontal="center" vertical="center" wrapText="1"/>
      <protection locked="0"/>
    </xf>
    <xf numFmtId="0" fontId="0" fillId="12" borderId="42" xfId="0" applyFill="1" applyBorder="1" applyAlignment="1" applyProtection="1">
      <alignment horizontal="center" vertical="center" wrapText="1"/>
      <protection locked="0"/>
    </xf>
    <xf numFmtId="0" fontId="13" fillId="0" borderId="13" xfId="0" applyFont="1" applyBorder="1" applyAlignment="1">
      <alignment horizontal="center" vertical="center" wrapText="1"/>
    </xf>
    <xf numFmtId="1" fontId="13" fillId="0" borderId="29" xfId="0" applyNumberFormat="1" applyFont="1" applyBorder="1" applyAlignment="1">
      <alignment horizontal="center" vertical="center" wrapText="1"/>
    </xf>
    <xf numFmtId="1" fontId="13" fillId="0" borderId="50" xfId="0" applyNumberFormat="1" applyFont="1" applyBorder="1" applyAlignment="1">
      <alignment horizontal="center" vertical="center" wrapText="1"/>
    </xf>
    <xf numFmtId="1" fontId="13" fillId="0" borderId="9"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0" fillId="0" borderId="20" xfId="0" applyFill="1" applyBorder="1" applyAlignment="1">
      <alignment horizontal="center" vertical="center" wrapText="1"/>
    </xf>
    <xf numFmtId="0" fontId="10" fillId="13" borderId="5" xfId="0" applyFont="1" applyFill="1" applyBorder="1" applyAlignment="1">
      <alignment horizontal="center" vertical="center" wrapText="1"/>
    </xf>
    <xf numFmtId="0" fontId="10" fillId="13" borderId="6" xfId="0" applyFont="1" applyFill="1" applyBorder="1" applyAlignment="1">
      <alignment horizontal="center" vertical="center" wrapText="1"/>
    </xf>
    <xf numFmtId="1" fontId="2" fillId="2" borderId="63" xfId="0" applyNumberFormat="1" applyFont="1" applyFill="1" applyBorder="1" applyAlignment="1">
      <alignment horizontal="center" vertical="center" wrapText="1"/>
    </xf>
    <xf numFmtId="1" fontId="2" fillId="2" borderId="51" xfId="0" applyNumberFormat="1" applyFont="1" applyFill="1" applyBorder="1" applyAlignment="1">
      <alignment horizontal="center" vertical="center" wrapText="1"/>
    </xf>
    <xf numFmtId="0" fontId="0" fillId="0" borderId="11" xfId="0" applyFill="1" applyBorder="1" applyAlignment="1">
      <alignment horizontal="center" vertical="center" wrapText="1"/>
    </xf>
    <xf numFmtId="1" fontId="2" fillId="2" borderId="17" xfId="0" applyNumberFormat="1" applyFont="1" applyFill="1" applyBorder="1" applyAlignment="1">
      <alignment horizontal="center" vertical="center" wrapText="1"/>
    </xf>
    <xf numFmtId="1" fontId="2" fillId="2" borderId="69" xfId="0" applyNumberFormat="1" applyFont="1" applyFill="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0" fillId="5" borderId="13"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8" xfId="0" applyFill="1" applyBorder="1" applyAlignment="1">
      <alignment horizontal="center" vertical="center" wrapText="1"/>
    </xf>
    <xf numFmtId="0" fontId="0" fillId="0" borderId="3" xfId="0" applyFill="1" applyBorder="1" applyAlignment="1">
      <alignment horizontal="center" vertical="center" wrapText="1"/>
    </xf>
    <xf numFmtId="0" fontId="0" fillId="0" borderId="9" xfId="0" applyFill="1" applyBorder="1" applyAlignment="1">
      <alignment horizontal="center" vertical="center" wrapText="1"/>
    </xf>
    <xf numFmtId="0" fontId="19" fillId="2" borderId="1" xfId="0" applyFont="1" applyFill="1" applyBorder="1" applyAlignment="1">
      <alignment horizontal="center" vertical="center" wrapText="1"/>
    </xf>
    <xf numFmtId="0" fontId="12" fillId="12" borderId="23" xfId="0" applyFont="1" applyFill="1" applyBorder="1" applyAlignment="1" applyProtection="1">
      <alignment horizontal="center" vertical="center" wrapText="1"/>
      <protection locked="0"/>
    </xf>
    <xf numFmtId="0" fontId="12" fillId="12" borderId="0" xfId="0" applyFont="1" applyFill="1" applyBorder="1" applyAlignment="1" applyProtection="1">
      <alignment horizontal="center" vertical="center" wrapText="1"/>
      <protection locked="0"/>
    </xf>
    <xf numFmtId="0" fontId="12" fillId="12" borderId="30" xfId="0" applyFont="1" applyFill="1" applyBorder="1" applyAlignment="1" applyProtection="1">
      <alignment horizontal="center" vertical="center" wrapText="1"/>
      <protection locked="0"/>
    </xf>
    <xf numFmtId="0" fontId="12" fillId="12" borderId="56" xfId="0" applyFont="1" applyFill="1" applyBorder="1" applyAlignment="1" applyProtection="1">
      <alignment horizontal="center" vertical="center" wrapText="1"/>
      <protection locked="0"/>
    </xf>
    <xf numFmtId="0" fontId="12" fillId="12" borderId="41" xfId="0" applyFont="1" applyFill="1" applyBorder="1" applyAlignment="1" applyProtection="1">
      <alignment horizontal="center" vertical="center" wrapText="1"/>
      <protection locked="0"/>
    </xf>
    <xf numFmtId="0" fontId="12" fillId="12" borderId="42" xfId="0" applyFont="1" applyFill="1" applyBorder="1" applyAlignment="1" applyProtection="1">
      <alignment horizontal="center" vertical="center" wrapText="1"/>
      <protection locked="0"/>
    </xf>
    <xf numFmtId="0" fontId="10" fillId="0" borderId="48" xfId="0" applyFont="1" applyBorder="1" applyAlignment="1">
      <alignment horizontal="center" vertical="center" wrapText="1"/>
    </xf>
    <xf numFmtId="0" fontId="10" fillId="0" borderId="36" xfId="0" applyFont="1" applyBorder="1" applyAlignment="1">
      <alignment horizontal="center" vertical="center" wrapText="1"/>
    </xf>
    <xf numFmtId="0" fontId="0" fillId="0" borderId="21" xfId="0" applyFill="1" applyBorder="1" applyAlignment="1">
      <alignment horizontal="center" vertical="center" wrapText="1"/>
    </xf>
    <xf numFmtId="0" fontId="0" fillId="0" borderId="14" xfId="0" applyFill="1" applyBorder="1" applyAlignment="1">
      <alignment horizontal="center" vertical="center" wrapText="1"/>
    </xf>
    <xf numFmtId="1" fontId="18" fillId="2" borderId="11" xfId="0" applyNumberFormat="1" applyFont="1" applyFill="1" applyBorder="1" applyAlignment="1">
      <alignment horizontal="center" vertical="center"/>
    </xf>
    <xf numFmtId="1" fontId="18" fillId="2" borderId="6" xfId="0" applyNumberFormat="1" applyFont="1" applyFill="1" applyBorder="1" applyAlignment="1">
      <alignment horizontal="center" vertical="center"/>
    </xf>
    <xf numFmtId="9" fontId="18" fillId="2" borderId="31" xfId="1" applyFont="1" applyFill="1" applyBorder="1" applyAlignment="1" applyProtection="1">
      <alignment horizontal="center" vertical="center"/>
      <protection locked="0"/>
    </xf>
    <xf numFmtId="9" fontId="18" fillId="2" borderId="27" xfId="1" applyFont="1" applyFill="1" applyBorder="1" applyAlignment="1" applyProtection="1">
      <alignment horizontal="center" vertical="center"/>
      <protection locked="0"/>
    </xf>
    <xf numFmtId="9" fontId="18" fillId="2" borderId="28" xfId="1" applyFont="1" applyFill="1" applyBorder="1" applyAlignment="1" applyProtection="1">
      <alignment horizontal="center" vertical="center"/>
      <protection locked="0"/>
    </xf>
    <xf numFmtId="9" fontId="18" fillId="2" borderId="23" xfId="1" applyFont="1" applyFill="1" applyBorder="1" applyAlignment="1" applyProtection="1">
      <alignment horizontal="center" vertical="center"/>
      <protection locked="0"/>
    </xf>
    <xf numFmtId="9" fontId="18" fillId="2" borderId="0" xfId="1" applyFont="1" applyFill="1" applyBorder="1" applyAlignment="1" applyProtection="1">
      <alignment horizontal="center" vertical="center"/>
      <protection locked="0"/>
    </xf>
    <xf numFmtId="9" fontId="18" fillId="2" borderId="30" xfId="1" applyFont="1" applyFill="1" applyBorder="1" applyAlignment="1" applyProtection="1">
      <alignment horizontal="center" vertical="center"/>
      <protection locked="0"/>
    </xf>
    <xf numFmtId="9" fontId="18" fillId="2" borderId="56" xfId="1" applyFont="1" applyFill="1" applyBorder="1" applyAlignment="1" applyProtection="1">
      <alignment horizontal="center" vertical="center"/>
      <protection locked="0"/>
    </xf>
    <xf numFmtId="9" fontId="18" fillId="2" borderId="41" xfId="1" applyFont="1" applyFill="1" applyBorder="1" applyAlignment="1" applyProtection="1">
      <alignment horizontal="center" vertical="center"/>
      <protection locked="0"/>
    </xf>
    <xf numFmtId="9" fontId="18" fillId="2" borderId="42" xfId="1" applyFont="1" applyFill="1" applyBorder="1" applyAlignment="1" applyProtection="1">
      <alignment horizontal="center" vertical="center"/>
      <protection locked="0"/>
    </xf>
    <xf numFmtId="1" fontId="11" fillId="2" borderId="16" xfId="0" applyNumberFormat="1" applyFont="1" applyFill="1" applyBorder="1" applyAlignment="1">
      <alignment horizontal="center" vertical="center"/>
    </xf>
    <xf numFmtId="1" fontId="11" fillId="2" borderId="22" xfId="0" applyNumberFormat="1" applyFont="1" applyFill="1" applyBorder="1" applyAlignment="1">
      <alignment horizontal="center" vertical="center"/>
    </xf>
    <xf numFmtId="0" fontId="5" fillId="9" borderId="46" xfId="0" applyFont="1" applyFill="1" applyBorder="1" applyAlignment="1">
      <alignment horizontal="left" vertical="center"/>
    </xf>
    <xf numFmtId="0" fontId="19" fillId="2" borderId="13" xfId="0" applyFont="1" applyFill="1" applyBorder="1" applyAlignment="1">
      <alignment horizontal="center" vertical="center" wrapText="1"/>
    </xf>
    <xf numFmtId="9" fontId="12" fillId="12" borderId="13" xfId="1" applyFont="1" applyFill="1" applyBorder="1" applyAlignment="1" applyProtection="1">
      <alignment horizontal="center" vertical="center" wrapText="1"/>
      <protection locked="0"/>
    </xf>
    <xf numFmtId="9" fontId="12" fillId="12" borderId="1" xfId="1" applyFont="1" applyFill="1" applyBorder="1" applyAlignment="1" applyProtection="1">
      <alignment horizontal="center" vertical="center" wrapText="1"/>
      <protection locked="0"/>
    </xf>
    <xf numFmtId="9" fontId="12" fillId="12" borderId="14" xfId="1" applyFont="1" applyFill="1" applyBorder="1" applyAlignment="1" applyProtection="1">
      <alignment horizontal="center" vertical="center" wrapText="1"/>
      <protection locked="0"/>
    </xf>
    <xf numFmtId="9" fontId="12" fillId="12" borderId="15" xfId="1" applyFont="1" applyFill="1" applyBorder="1" applyAlignment="1" applyProtection="1">
      <alignment horizontal="center" vertical="center" wrapText="1"/>
      <protection locked="0"/>
    </xf>
    <xf numFmtId="9" fontId="12" fillId="12" borderId="16" xfId="1" applyFont="1" applyFill="1" applyBorder="1" applyAlignment="1" applyProtection="1">
      <alignment horizontal="center" vertical="center" wrapText="1"/>
      <protection locked="0"/>
    </xf>
    <xf numFmtId="9" fontId="12" fillId="12" borderId="22" xfId="1" applyFont="1" applyFill="1" applyBorder="1" applyAlignment="1" applyProtection="1">
      <alignment horizontal="center" vertical="center" wrapText="1"/>
      <protection locked="0"/>
    </xf>
    <xf numFmtId="0" fontId="0" fillId="0" borderId="7" xfId="0" applyFont="1" applyBorder="1" applyAlignment="1">
      <alignment horizontal="center" vertical="center" wrapText="1"/>
    </xf>
    <xf numFmtId="1" fontId="27" fillId="2" borderId="11" xfId="0" applyNumberFormat="1" applyFont="1" applyFill="1" applyBorder="1" applyAlignment="1">
      <alignment horizontal="center" vertical="center" wrapText="1"/>
    </xf>
    <xf numFmtId="1" fontId="27" fillId="2" borderId="7" xfId="0" applyNumberFormat="1" applyFont="1" applyFill="1" applyBorder="1" applyAlignment="1">
      <alignment horizontal="center" vertical="center" wrapText="1"/>
    </xf>
    <xf numFmtId="1" fontId="0" fillId="2" borderId="1" xfId="0" applyNumberFormat="1" applyFont="1" applyFill="1" applyBorder="1" applyAlignment="1">
      <alignment horizontal="center"/>
    </xf>
    <xf numFmtId="1" fontId="0" fillId="2" borderId="14" xfId="0" applyNumberFormat="1" applyFont="1" applyFill="1" applyBorder="1" applyAlignment="1">
      <alignment horizontal="center"/>
    </xf>
    <xf numFmtId="1" fontId="0" fillId="2" borderId="47" xfId="0" applyNumberFormat="1" applyFont="1" applyFill="1" applyBorder="1" applyAlignment="1">
      <alignment horizontal="center"/>
    </xf>
    <xf numFmtId="0" fontId="3" fillId="0" borderId="37" xfId="0" applyFont="1" applyBorder="1" applyAlignment="1">
      <alignment horizontal="center" vertical="center"/>
    </xf>
    <xf numFmtId="1" fontId="7" fillId="0" borderId="36" xfId="0" applyNumberFormat="1" applyFont="1" applyBorder="1" applyAlignment="1">
      <alignment horizontal="center" vertical="center"/>
    </xf>
    <xf numFmtId="0" fontId="7" fillId="0" borderId="37" xfId="0" applyFont="1" applyBorder="1" applyAlignment="1">
      <alignment horizontal="center" vertical="center"/>
    </xf>
    <xf numFmtId="0" fontId="7" fillId="0" borderId="48" xfId="0" applyFont="1" applyBorder="1" applyAlignment="1">
      <alignment horizontal="center"/>
    </xf>
    <xf numFmtId="0" fontId="7" fillId="0" borderId="36" xfId="0" applyFont="1" applyBorder="1" applyAlignment="1">
      <alignment horizontal="center"/>
    </xf>
    <xf numFmtId="1" fontId="0" fillId="0" borderId="1" xfId="0" applyNumberFormat="1" applyBorder="1" applyAlignment="1">
      <alignment horizontal="center" vertical="center" wrapText="1"/>
    </xf>
    <xf numFmtId="1" fontId="0" fillId="0" borderId="29" xfId="0" applyNumberFormat="1" applyBorder="1" applyAlignment="1">
      <alignment horizontal="center" vertical="center" wrapText="1"/>
    </xf>
    <xf numFmtId="1" fontId="3" fillId="2" borderId="16" xfId="0" applyNumberFormat="1" applyFont="1" applyFill="1" applyBorder="1" applyAlignment="1">
      <alignment horizontal="center" vertical="center"/>
    </xf>
    <xf numFmtId="1" fontId="5" fillId="0" borderId="17" xfId="0" applyNumberFormat="1" applyFont="1" applyBorder="1" applyAlignment="1">
      <alignment horizontal="center" vertical="center"/>
    </xf>
    <xf numFmtId="1" fontId="5" fillId="0" borderId="69" xfId="0" applyNumberFormat="1" applyFont="1" applyBorder="1" applyAlignment="1">
      <alignment horizontal="center" vertical="center"/>
    </xf>
    <xf numFmtId="1" fontId="0" fillId="0" borderId="1" xfId="0" applyNumberFormat="1" applyFont="1" applyFill="1" applyBorder="1" applyAlignment="1">
      <alignment horizontal="center"/>
    </xf>
    <xf numFmtId="1" fontId="0" fillId="0" borderId="14" xfId="0" applyNumberFormat="1" applyFont="1" applyFill="1" applyBorder="1" applyAlignment="1">
      <alignment horizontal="center"/>
    </xf>
    <xf numFmtId="1" fontId="18" fillId="2" borderId="1" xfId="0" applyNumberFormat="1" applyFont="1" applyFill="1" applyBorder="1" applyAlignment="1">
      <alignment horizontal="center" vertical="center"/>
    </xf>
    <xf numFmtId="0" fontId="18" fillId="12" borderId="0" xfId="0" applyFont="1" applyFill="1" applyBorder="1" applyAlignment="1" applyProtection="1">
      <alignment horizontal="center" vertical="center" wrapText="1"/>
      <protection locked="0"/>
    </xf>
    <xf numFmtId="0" fontId="18" fillId="12" borderId="30" xfId="0" applyFont="1" applyFill="1" applyBorder="1" applyAlignment="1" applyProtection="1">
      <alignment horizontal="center" vertical="center" wrapText="1"/>
      <protection locked="0"/>
    </xf>
    <xf numFmtId="0" fontId="18" fillId="12" borderId="41" xfId="0" applyFont="1" applyFill="1" applyBorder="1" applyAlignment="1" applyProtection="1">
      <alignment horizontal="center" vertical="center" wrapText="1"/>
      <protection locked="0"/>
    </xf>
    <xf numFmtId="0" fontId="18" fillId="12" borderId="42" xfId="0" applyFont="1" applyFill="1" applyBorder="1" applyAlignment="1" applyProtection="1">
      <alignment horizontal="center" vertical="center" wrapText="1"/>
      <protection locked="0"/>
    </xf>
    <xf numFmtId="0" fontId="18" fillId="0" borderId="31" xfId="0" applyFont="1" applyBorder="1" applyAlignment="1">
      <alignment horizontal="left" vertical="top" wrapText="1"/>
    </xf>
    <xf numFmtId="0" fontId="18" fillId="0" borderId="32" xfId="0" applyFont="1" applyBorder="1" applyAlignment="1">
      <alignment horizontal="left" vertical="top" wrapText="1"/>
    </xf>
    <xf numFmtId="0" fontId="5" fillId="0" borderId="34" xfId="0" applyFont="1" applyBorder="1" applyAlignment="1">
      <alignment horizontal="center" vertical="center"/>
    </xf>
    <xf numFmtId="0" fontId="5" fillId="0" borderId="54" xfId="0" applyFont="1" applyBorder="1" applyAlignment="1">
      <alignment horizontal="center" vertical="center"/>
    </xf>
    <xf numFmtId="0" fontId="18" fillId="0" borderId="14" xfId="0" applyFont="1" applyBorder="1" applyAlignment="1">
      <alignment horizontal="center" vertical="center" wrapText="1"/>
    </xf>
    <xf numFmtId="1" fontId="3" fillId="2" borderId="22" xfId="0" applyNumberFormat="1" applyFont="1" applyFill="1" applyBorder="1" applyAlignment="1">
      <alignment horizontal="center"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1" fontId="0" fillId="2" borderId="11" xfId="0" applyNumberFormat="1" applyFill="1" applyBorder="1" applyAlignment="1">
      <alignment horizontal="center" vertical="center" wrapText="1"/>
    </xf>
    <xf numFmtId="1" fontId="0" fillId="2" borderId="12" xfId="0" applyNumberFormat="1" applyFill="1" applyBorder="1" applyAlignment="1">
      <alignment horizontal="center" vertical="center" wrapText="1"/>
    </xf>
    <xf numFmtId="1" fontId="0" fillId="2" borderId="33" xfId="0" applyNumberFormat="1" applyFill="1" applyBorder="1" applyAlignment="1">
      <alignment horizontal="center" vertical="center" wrapText="1"/>
    </xf>
    <xf numFmtId="1" fontId="0" fillId="2" borderId="32" xfId="0" applyNumberFormat="1" applyFill="1" applyBorder="1" applyAlignment="1">
      <alignment horizontal="center" vertical="center" wrapText="1"/>
    </xf>
    <xf numFmtId="1" fontId="2" fillId="0" borderId="40" xfId="0" applyNumberFormat="1" applyFont="1" applyFill="1" applyBorder="1" applyAlignment="1">
      <alignment horizontal="center" vertical="center" wrapText="1"/>
    </xf>
    <xf numFmtId="1" fontId="2" fillId="0" borderId="35" xfId="0" applyNumberFormat="1" applyFont="1" applyFill="1" applyBorder="1" applyAlignment="1">
      <alignment horizontal="center" vertical="center" wrapText="1"/>
    </xf>
    <xf numFmtId="0" fontId="15" fillId="0" borderId="34" xfId="0" applyFont="1" applyBorder="1" applyAlignment="1">
      <alignment horizontal="center" vertical="center" wrapText="1"/>
    </xf>
    <xf numFmtId="0" fontId="15" fillId="0" borderId="54" xfId="0" applyFont="1" applyBorder="1" applyAlignment="1">
      <alignment horizontal="center" vertical="center" wrapText="1"/>
    </xf>
    <xf numFmtId="0" fontId="15" fillId="0" borderId="35" xfId="0" applyFont="1" applyBorder="1" applyAlignment="1">
      <alignment horizontal="center" vertical="center" wrapText="1"/>
    </xf>
    <xf numFmtId="0" fontId="5" fillId="9" borderId="29" xfId="0" applyFont="1" applyFill="1" applyBorder="1" applyAlignment="1">
      <alignment horizontal="left" vertical="center"/>
    </xf>
    <xf numFmtId="0" fontId="5" fillId="9" borderId="33" xfId="0" applyFont="1" applyFill="1" applyBorder="1" applyAlignment="1">
      <alignment horizontal="left" vertical="center"/>
    </xf>
    <xf numFmtId="9" fontId="10" fillId="12" borderId="12" xfId="1" applyFont="1" applyFill="1" applyBorder="1" applyAlignment="1" applyProtection="1">
      <alignment horizontal="center" vertical="center"/>
      <protection locked="0"/>
    </xf>
    <xf numFmtId="9" fontId="10" fillId="12" borderId="1" xfId="1" applyFont="1" applyFill="1" applyBorder="1" applyAlignment="1" applyProtection="1">
      <alignment horizontal="center" vertical="center"/>
      <protection locked="0"/>
    </xf>
    <xf numFmtId="9" fontId="10" fillId="12" borderId="14" xfId="1" applyFont="1" applyFill="1" applyBorder="1" applyAlignment="1" applyProtection="1">
      <alignment horizontal="center" vertical="center"/>
      <protection locked="0"/>
    </xf>
    <xf numFmtId="9" fontId="10" fillId="12" borderId="51" xfId="1" applyFont="1" applyFill="1" applyBorder="1" applyAlignment="1" applyProtection="1">
      <alignment horizontal="center" vertical="center"/>
      <protection locked="0"/>
    </xf>
    <xf numFmtId="9" fontId="10" fillId="12" borderId="16" xfId="1" applyFont="1" applyFill="1" applyBorder="1" applyAlignment="1" applyProtection="1">
      <alignment horizontal="center" vertical="center"/>
      <protection locked="0"/>
    </xf>
    <xf numFmtId="9" fontId="10" fillId="12" borderId="22" xfId="1" applyFont="1" applyFill="1" applyBorder="1" applyAlignment="1" applyProtection="1">
      <alignment horizontal="center" vertical="center"/>
      <protection locked="0"/>
    </xf>
    <xf numFmtId="0" fontId="19" fillId="0" borderId="21" xfId="0" applyFont="1" applyBorder="1" applyAlignment="1">
      <alignment horizontal="center" vertical="center" wrapText="1"/>
    </xf>
    <xf numFmtId="0" fontId="19" fillId="0" borderId="14" xfId="0" applyFont="1" applyBorder="1" applyAlignment="1">
      <alignment horizontal="center" vertical="center" wrapText="1"/>
    </xf>
    <xf numFmtId="0" fontId="17" fillId="0" borderId="20" xfId="0" applyFont="1" applyBorder="1" applyAlignment="1">
      <alignment horizontal="center" vertical="center" wrapText="1"/>
    </xf>
    <xf numFmtId="0" fontId="5" fillId="9" borderId="53" xfId="0" applyFont="1" applyFill="1" applyBorder="1" applyAlignment="1">
      <alignment horizontal="left" wrapText="1"/>
    </xf>
    <xf numFmtId="0" fontId="5" fillId="9" borderId="25" xfId="0" applyFont="1" applyFill="1" applyBorder="1" applyAlignment="1">
      <alignment horizontal="left" wrapText="1"/>
    </xf>
    <xf numFmtId="0" fontId="5" fillId="10" borderId="53" xfId="0" applyFont="1" applyFill="1" applyBorder="1" applyAlignment="1">
      <alignment horizontal="center" vertical="center"/>
    </xf>
    <xf numFmtId="0" fontId="5" fillId="10" borderId="25" xfId="0" applyFont="1" applyFill="1" applyBorder="1" applyAlignment="1">
      <alignment horizontal="center" vertical="center"/>
    </xf>
    <xf numFmtId="0" fontId="5" fillId="10" borderId="26" xfId="0" applyFont="1" applyFill="1" applyBorder="1" applyAlignment="1">
      <alignment horizontal="center" vertical="center"/>
    </xf>
    <xf numFmtId="0" fontId="4" fillId="0" borderId="31"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3" fillId="0" borderId="47" xfId="0" applyFont="1" applyFill="1" applyBorder="1" applyAlignment="1">
      <alignment horizontal="center" vertical="center" wrapText="1"/>
    </xf>
    <xf numFmtId="0" fontId="3" fillId="0" borderId="48" xfId="0" applyFont="1" applyFill="1" applyBorder="1" applyAlignment="1">
      <alignment horizontal="center" vertical="center" wrapText="1"/>
    </xf>
    <xf numFmtId="1" fontId="17" fillId="0" borderId="38" xfId="0" applyNumberFormat="1" applyFont="1" applyFill="1" applyBorder="1" applyAlignment="1">
      <alignment horizontal="center" vertical="center" wrapText="1"/>
    </xf>
    <xf numFmtId="1" fontId="18" fillId="2" borderId="1" xfId="0" applyNumberFormat="1" applyFont="1" applyFill="1" applyBorder="1" applyAlignment="1">
      <alignment horizontal="center" vertical="center" wrapText="1"/>
    </xf>
    <xf numFmtId="0" fontId="7" fillId="0" borderId="20"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16" fillId="0" borderId="63" xfId="0" applyFont="1" applyBorder="1" applyAlignment="1">
      <alignment horizontal="right" vertical="center" wrapText="1"/>
    </xf>
    <xf numFmtId="0" fontId="16" fillId="0" borderId="51" xfId="0" applyFont="1" applyBorder="1" applyAlignment="1">
      <alignment horizontal="right" vertical="center" wrapText="1"/>
    </xf>
    <xf numFmtId="1" fontId="16" fillId="0" borderId="16" xfId="0" applyNumberFormat="1" applyFont="1" applyBorder="1" applyAlignment="1">
      <alignment horizontal="center" vertical="center" wrapText="1"/>
    </xf>
    <xf numFmtId="1" fontId="18" fillId="11" borderId="1" xfId="0" applyNumberFormat="1" applyFont="1" applyFill="1" applyBorder="1" applyAlignment="1">
      <alignment horizontal="center" vertical="center" wrapText="1"/>
    </xf>
    <xf numFmtId="1" fontId="18" fillId="11" borderId="11" xfId="0" applyNumberFormat="1" applyFont="1" applyFill="1" applyBorder="1" applyAlignment="1">
      <alignment horizontal="center" vertical="center" wrapText="1"/>
    </xf>
    <xf numFmtId="0" fontId="3" fillId="0" borderId="19" xfId="0" applyFont="1" applyBorder="1" applyAlignment="1">
      <alignment horizontal="center" vertical="center" wrapText="1"/>
    </xf>
    <xf numFmtId="9" fontId="0" fillId="11" borderId="31" xfId="1" applyFont="1" applyFill="1" applyBorder="1" applyAlignment="1" applyProtection="1">
      <alignment horizontal="center" vertical="center"/>
      <protection locked="0"/>
    </xf>
    <xf numFmtId="9" fontId="0" fillId="11" borderId="27" xfId="1" applyFont="1" applyFill="1" applyBorder="1" applyAlignment="1" applyProtection="1">
      <alignment horizontal="center" vertical="center"/>
      <protection locked="0"/>
    </xf>
    <xf numFmtId="9" fontId="0" fillId="11" borderId="28" xfId="1" applyFont="1" applyFill="1" applyBorder="1" applyAlignment="1" applyProtection="1">
      <alignment horizontal="center" vertical="center"/>
      <protection locked="0"/>
    </xf>
    <xf numFmtId="9" fontId="0" fillId="11" borderId="23" xfId="1" applyFont="1" applyFill="1" applyBorder="1" applyAlignment="1" applyProtection="1">
      <alignment horizontal="center" vertical="center"/>
      <protection locked="0"/>
    </xf>
    <xf numFmtId="9" fontId="0" fillId="11" borderId="0" xfId="1" applyFont="1" applyFill="1" applyBorder="1" applyAlignment="1" applyProtection="1">
      <alignment horizontal="center" vertical="center"/>
      <protection locked="0"/>
    </xf>
    <xf numFmtId="9" fontId="0" fillId="11" borderId="30" xfId="1" applyFont="1" applyFill="1" applyBorder="1" applyAlignment="1" applyProtection="1">
      <alignment horizontal="center" vertical="center"/>
      <protection locked="0"/>
    </xf>
    <xf numFmtId="9" fontId="0" fillId="11" borderId="56" xfId="1" applyFont="1" applyFill="1" applyBorder="1" applyAlignment="1" applyProtection="1">
      <alignment horizontal="center" vertical="center"/>
      <protection locked="0"/>
    </xf>
    <xf numFmtId="9" fontId="0" fillId="11" borderId="41" xfId="1" applyFont="1" applyFill="1" applyBorder="1" applyAlignment="1" applyProtection="1">
      <alignment horizontal="center" vertical="center"/>
      <protection locked="0"/>
    </xf>
    <xf numFmtId="9" fontId="0" fillId="11" borderId="42" xfId="1" applyFont="1" applyFill="1" applyBorder="1" applyAlignment="1" applyProtection="1">
      <alignment horizontal="center" vertical="center"/>
      <protection locked="0"/>
    </xf>
    <xf numFmtId="0" fontId="18" fillId="0" borderId="11" xfId="0" applyFont="1" applyBorder="1" applyAlignment="1">
      <alignment horizontal="center" vertical="center" wrapText="1"/>
    </xf>
    <xf numFmtId="1" fontId="2" fillId="0" borderId="54" xfId="0" applyNumberFormat="1" applyFont="1" applyBorder="1" applyAlignment="1">
      <alignment horizontal="center" vertical="center"/>
    </xf>
    <xf numFmtId="1" fontId="11" fillId="8" borderId="11" xfId="0" applyNumberFormat="1" applyFont="1" applyFill="1" applyBorder="1" applyAlignment="1">
      <alignment horizontal="center" vertical="center" wrapText="1"/>
    </xf>
    <xf numFmtId="1" fontId="17" fillId="5" borderId="11" xfId="0" applyNumberFormat="1" applyFont="1" applyFill="1" applyBorder="1" applyAlignment="1">
      <alignment horizontal="center" vertical="center" wrapText="1"/>
    </xf>
    <xf numFmtId="1" fontId="17" fillId="5" borderId="12" xfId="0" applyNumberFormat="1" applyFont="1" applyFill="1" applyBorder="1" applyAlignment="1">
      <alignment horizontal="center" vertical="center" wrapText="1"/>
    </xf>
    <xf numFmtId="1" fontId="17" fillId="0" borderId="11" xfId="0" applyNumberFormat="1" applyFont="1" applyFill="1" applyBorder="1" applyAlignment="1">
      <alignment horizontal="center" vertical="center" wrapText="1"/>
    </xf>
    <xf numFmtId="1" fontId="17" fillId="0" borderId="12" xfId="0" applyNumberFormat="1" applyFont="1" applyFill="1" applyBorder="1" applyAlignment="1">
      <alignment horizontal="center" vertical="center" wrapText="1"/>
    </xf>
    <xf numFmtId="1" fontId="12" fillId="2" borderId="11" xfId="0" applyNumberFormat="1" applyFont="1" applyFill="1" applyBorder="1" applyAlignment="1">
      <alignment horizontal="center" vertical="center"/>
    </xf>
    <xf numFmtId="1" fontId="12" fillId="2" borderId="7" xfId="0" applyNumberFormat="1" applyFont="1" applyFill="1" applyBorder="1" applyAlignment="1">
      <alignment horizontal="center" vertical="center"/>
    </xf>
    <xf numFmtId="1" fontId="12" fillId="2" borderId="17" xfId="0" applyNumberFormat="1" applyFont="1" applyFill="1" applyBorder="1" applyAlignment="1">
      <alignment horizontal="center" vertical="center"/>
    </xf>
    <xf numFmtId="1" fontId="12" fillId="2" borderId="18" xfId="0" applyNumberFormat="1" applyFont="1" applyFill="1" applyBorder="1" applyAlignment="1">
      <alignment horizontal="center" vertical="center"/>
    </xf>
    <xf numFmtId="1" fontId="11" fillId="0" borderId="55" xfId="0" applyNumberFormat="1" applyFont="1" applyFill="1" applyBorder="1" applyAlignment="1">
      <alignment horizontal="center" vertical="center"/>
    </xf>
    <xf numFmtId="0" fontId="19" fillId="0" borderId="66" xfId="0" applyFont="1" applyBorder="1" applyAlignment="1">
      <alignment horizontal="center" vertical="center" wrapText="1"/>
    </xf>
    <xf numFmtId="0" fontId="19" fillId="0" borderId="43" xfId="0" applyFont="1" applyBorder="1" applyAlignment="1">
      <alignment horizontal="center" vertical="center" wrapText="1"/>
    </xf>
    <xf numFmtId="0" fontId="0" fillId="0" borderId="3" xfId="0" applyBorder="1" applyAlignment="1">
      <alignment horizontal="center" wrapText="1"/>
    </xf>
    <xf numFmtId="0" fontId="0" fillId="0" borderId="50" xfId="0" applyBorder="1" applyAlignment="1">
      <alignment horizontal="center" wrapText="1"/>
    </xf>
    <xf numFmtId="0" fontId="0" fillId="0" borderId="9" xfId="0" applyBorder="1" applyAlignment="1">
      <alignment horizontal="center" wrapText="1"/>
    </xf>
    <xf numFmtId="0" fontId="19" fillId="0" borderId="21" xfId="0" applyFont="1" applyBorder="1" applyAlignment="1">
      <alignment horizontal="center" wrapText="1"/>
    </xf>
    <xf numFmtId="0" fontId="19" fillId="0" borderId="14" xfId="0" applyFont="1" applyBorder="1" applyAlignment="1">
      <alignment horizontal="center" wrapText="1"/>
    </xf>
    <xf numFmtId="0" fontId="10" fillId="0" borderId="45"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57" xfId="0" applyFont="1" applyFill="1" applyBorder="1" applyAlignment="1">
      <alignment horizontal="center" vertical="center" wrapText="1"/>
    </xf>
    <xf numFmtId="0" fontId="0" fillId="12" borderId="27" xfId="0" applyFill="1" applyBorder="1" applyAlignment="1" applyProtection="1">
      <alignment horizontal="center"/>
      <protection locked="0"/>
    </xf>
    <xf numFmtId="1" fontId="19" fillId="2" borderId="1" xfId="0" applyNumberFormat="1" applyFont="1" applyFill="1" applyBorder="1" applyAlignment="1">
      <alignment horizontal="center" vertical="center" wrapText="1"/>
    </xf>
    <xf numFmtId="1" fontId="19" fillId="2" borderId="14" xfId="0" applyNumberFormat="1" applyFont="1" applyFill="1" applyBorder="1" applyAlignment="1">
      <alignment horizontal="center" vertical="center" wrapText="1"/>
    </xf>
    <xf numFmtId="1" fontId="19" fillId="2" borderId="16" xfId="0" applyNumberFormat="1" applyFont="1" applyFill="1" applyBorder="1" applyAlignment="1">
      <alignment horizontal="center" vertical="center" wrapText="1"/>
    </xf>
    <xf numFmtId="1" fontId="19" fillId="2" borderId="22"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9" xfId="0" applyFont="1" applyFill="1" applyBorder="1" applyAlignment="1">
      <alignment horizontal="center" vertical="center" wrapText="1"/>
    </xf>
    <xf numFmtId="1" fontId="27" fillId="2" borderId="17" xfId="0" applyNumberFormat="1" applyFont="1" applyFill="1" applyBorder="1" applyAlignment="1">
      <alignment horizontal="center" vertical="center" wrapText="1"/>
    </xf>
    <xf numFmtId="1" fontId="27" fillId="2" borderId="18" xfId="0" applyNumberFormat="1" applyFont="1" applyFill="1" applyBorder="1" applyAlignment="1">
      <alignment horizontal="center" vertical="center" wrapText="1"/>
    </xf>
    <xf numFmtId="1" fontId="14" fillId="0" borderId="55" xfId="0" applyNumberFormat="1" applyFont="1" applyBorder="1" applyAlignment="1">
      <alignment horizontal="center" vertical="center"/>
    </xf>
    <xf numFmtId="0" fontId="0" fillId="0" borderId="7" xfId="0"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9" fillId="5" borderId="19" xfId="0" applyFont="1" applyFill="1" applyBorder="1" applyAlignment="1">
      <alignment horizontal="left" vertical="center" wrapText="1"/>
    </xf>
    <xf numFmtId="0" fontId="19" fillId="5" borderId="20" xfId="0" applyFont="1" applyFill="1" applyBorder="1" applyAlignment="1">
      <alignment horizontal="left" vertical="center" wrapText="1"/>
    </xf>
    <xf numFmtId="0" fontId="19" fillId="5" borderId="20" xfId="0" applyFont="1" applyFill="1" applyBorder="1" applyAlignment="1">
      <alignment horizontal="center" vertical="center" wrapText="1"/>
    </xf>
    <xf numFmtId="0" fontId="19" fillId="5" borderId="21" xfId="0" applyFont="1" applyFill="1" applyBorder="1" applyAlignment="1">
      <alignment horizontal="center" vertical="center" wrapText="1"/>
    </xf>
    <xf numFmtId="1" fontId="0" fillId="2" borderId="11" xfId="0" applyNumberFormat="1" applyFill="1" applyBorder="1" applyAlignment="1">
      <alignment horizontal="center" vertical="center"/>
    </xf>
    <xf numFmtId="1" fontId="0" fillId="2" borderId="7" xfId="0" applyNumberFormat="1" applyFill="1" applyBorder="1" applyAlignment="1">
      <alignment horizontal="center" vertical="center"/>
    </xf>
    <xf numFmtId="1" fontId="0" fillId="2" borderId="33" xfId="0" applyNumberFormat="1" applyFill="1" applyBorder="1" applyAlignment="1">
      <alignment horizontal="center" vertical="center"/>
    </xf>
    <xf numFmtId="1" fontId="0" fillId="2" borderId="28" xfId="0" applyNumberFormat="1" applyFill="1" applyBorder="1" applyAlignment="1">
      <alignment horizontal="center" vertical="center"/>
    </xf>
    <xf numFmtId="1" fontId="0" fillId="0" borderId="11" xfId="0" applyNumberFormat="1" applyFill="1" applyBorder="1" applyAlignment="1">
      <alignment horizontal="center" vertical="center"/>
    </xf>
    <xf numFmtId="1" fontId="0" fillId="0" borderId="7" xfId="0" applyNumberFormat="1" applyFill="1" applyBorder="1" applyAlignment="1">
      <alignment horizontal="center" vertical="center"/>
    </xf>
    <xf numFmtId="0" fontId="18" fillId="2" borderId="13"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protection locked="0"/>
    </xf>
    <xf numFmtId="0" fontId="18" fillId="2" borderId="13"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8" fillId="2" borderId="39" xfId="0" applyFont="1" applyFill="1" applyBorder="1" applyAlignment="1">
      <alignment horizontal="left" vertical="center" wrapText="1"/>
    </xf>
    <xf numFmtId="0" fontId="18" fillId="2" borderId="29" xfId="0" applyFont="1" applyFill="1" applyBorder="1" applyAlignment="1">
      <alignment horizontal="left" vertical="center" wrapText="1"/>
    </xf>
    <xf numFmtId="1" fontId="18" fillId="2" borderId="29" xfId="0" applyNumberFormat="1" applyFont="1" applyFill="1" applyBorder="1" applyAlignment="1">
      <alignment horizontal="center" vertical="center"/>
    </xf>
    <xf numFmtId="1" fontId="18" fillId="2" borderId="33" xfId="0" applyNumberFormat="1" applyFont="1" applyFill="1" applyBorder="1" applyAlignment="1">
      <alignment horizontal="center" vertical="center"/>
    </xf>
    <xf numFmtId="0" fontId="18" fillId="0" borderId="1" xfId="0" applyFont="1" applyFill="1" applyBorder="1" applyAlignment="1">
      <alignment horizontal="left" vertical="center" wrapText="1"/>
    </xf>
    <xf numFmtId="1" fontId="11" fillId="2" borderId="47" xfId="0" applyNumberFormat="1" applyFont="1" applyFill="1" applyBorder="1" applyAlignment="1">
      <alignment horizontal="center" vertical="center" wrapText="1"/>
    </xf>
    <xf numFmtId="0" fontId="5" fillId="10" borderId="19" xfId="0" applyFont="1" applyFill="1" applyBorder="1" applyAlignment="1">
      <alignment horizontal="center" vertical="center"/>
    </xf>
    <xf numFmtId="0" fontId="5" fillId="10" borderId="20" xfId="0" applyFont="1" applyFill="1" applyBorder="1" applyAlignment="1">
      <alignment horizontal="center" vertical="center"/>
    </xf>
    <xf numFmtId="0" fontId="5" fillId="10" borderId="21" xfId="0" applyFont="1" applyFill="1" applyBorder="1" applyAlignment="1">
      <alignment horizontal="center" vertical="center"/>
    </xf>
    <xf numFmtId="0" fontId="5" fillId="10" borderId="13" xfId="0" applyFont="1" applyFill="1" applyBorder="1" applyAlignment="1">
      <alignment horizontal="center" vertical="center"/>
    </xf>
    <xf numFmtId="0" fontId="5" fillId="10" borderId="1" xfId="0" applyFont="1" applyFill="1" applyBorder="1" applyAlignment="1">
      <alignment horizontal="center" vertical="center"/>
    </xf>
    <xf numFmtId="0" fontId="5" fillId="10" borderId="14" xfId="0" applyFont="1" applyFill="1" applyBorder="1" applyAlignment="1">
      <alignment horizontal="center" vertical="center"/>
    </xf>
    <xf numFmtId="0" fontId="5" fillId="0" borderId="19" xfId="0" applyFont="1" applyFill="1" applyBorder="1" applyAlignment="1">
      <alignment horizontal="center"/>
    </xf>
    <xf numFmtId="0" fontId="5" fillId="0" borderId="20" xfId="0" applyFont="1" applyFill="1" applyBorder="1" applyAlignment="1">
      <alignment horizontal="center"/>
    </xf>
    <xf numFmtId="0" fontId="5" fillId="0" borderId="21" xfId="0" applyFont="1" applyFill="1" applyBorder="1" applyAlignment="1">
      <alignment horizontal="center"/>
    </xf>
    <xf numFmtId="1" fontId="19" fillId="12" borderId="1" xfId="0" applyNumberFormat="1" applyFont="1" applyFill="1" applyBorder="1" applyAlignment="1">
      <alignment horizontal="center" vertical="center"/>
    </xf>
    <xf numFmtId="1" fontId="15" fillId="12" borderId="0" xfId="0" applyNumberFormat="1" applyFont="1" applyFill="1" applyBorder="1" applyAlignment="1" applyProtection="1">
      <alignment horizontal="center"/>
      <protection locked="0"/>
    </xf>
    <xf numFmtId="1" fontId="15" fillId="12" borderId="30" xfId="0" applyNumberFormat="1" applyFont="1" applyFill="1" applyBorder="1" applyAlignment="1" applyProtection="1">
      <alignment horizontal="center"/>
      <protection locked="0"/>
    </xf>
    <xf numFmtId="1" fontId="15" fillId="12" borderId="23" xfId="0" applyNumberFormat="1" applyFont="1" applyFill="1" applyBorder="1" applyAlignment="1" applyProtection="1">
      <alignment horizontal="center"/>
      <protection locked="0"/>
    </xf>
    <xf numFmtId="1" fontId="15" fillId="12" borderId="56" xfId="0" applyNumberFormat="1" applyFont="1" applyFill="1" applyBorder="1" applyAlignment="1" applyProtection="1">
      <alignment horizontal="center"/>
      <protection locked="0"/>
    </xf>
    <xf numFmtId="1" fontId="15" fillId="12" borderId="41" xfId="0" applyNumberFormat="1" applyFont="1" applyFill="1" applyBorder="1" applyAlignment="1" applyProtection="1">
      <alignment horizontal="center"/>
      <protection locked="0"/>
    </xf>
    <xf numFmtId="1" fontId="15" fillId="12" borderId="42" xfId="0" applyNumberFormat="1" applyFont="1" applyFill="1" applyBorder="1" applyAlignment="1" applyProtection="1">
      <alignment horizontal="center"/>
      <protection locked="0"/>
    </xf>
    <xf numFmtId="1" fontId="19" fillId="12" borderId="29" xfId="0" applyNumberFormat="1" applyFont="1" applyFill="1" applyBorder="1" applyAlignment="1">
      <alignment horizontal="center" vertical="center"/>
    </xf>
    <xf numFmtId="0" fontId="5" fillId="0" borderId="34" xfId="0" applyFont="1" applyBorder="1" applyAlignment="1">
      <alignment horizontal="center" wrapText="1"/>
    </xf>
    <xf numFmtId="0" fontId="5" fillId="0" borderId="35" xfId="0" applyFont="1" applyBorder="1" applyAlignment="1">
      <alignment horizontal="center" wrapText="1"/>
    </xf>
    <xf numFmtId="0" fontId="5" fillId="12" borderId="23" xfId="0" applyFont="1" applyFill="1" applyBorder="1" applyAlignment="1" applyProtection="1">
      <alignment horizontal="center" vertical="center"/>
      <protection locked="0"/>
    </xf>
    <xf numFmtId="0" fontId="5" fillId="12" borderId="0" xfId="0" applyFont="1" applyFill="1" applyBorder="1" applyAlignment="1" applyProtection="1">
      <alignment horizontal="center" vertical="center"/>
      <protection locked="0"/>
    </xf>
    <xf numFmtId="0" fontId="5" fillId="12" borderId="30" xfId="0" applyFont="1" applyFill="1" applyBorder="1" applyAlignment="1" applyProtection="1">
      <alignment horizontal="center" vertical="center"/>
      <protection locked="0"/>
    </xf>
    <xf numFmtId="0" fontId="5" fillId="12" borderId="56" xfId="0" applyFont="1" applyFill="1" applyBorder="1" applyAlignment="1" applyProtection="1">
      <alignment horizontal="center" vertical="center"/>
      <protection locked="0"/>
    </xf>
    <xf numFmtId="0" fontId="5" fillId="12" borderId="41" xfId="0" applyFont="1" applyFill="1" applyBorder="1" applyAlignment="1" applyProtection="1">
      <alignment horizontal="center" vertical="center"/>
      <protection locked="0"/>
    </xf>
    <xf numFmtId="0" fontId="5" fillId="12" borderId="42" xfId="0" applyFont="1" applyFill="1" applyBorder="1" applyAlignment="1" applyProtection="1">
      <alignment horizontal="center" vertical="center"/>
      <protection locked="0"/>
    </xf>
    <xf numFmtId="0" fontId="0" fillId="0" borderId="1" xfId="0" applyBorder="1" applyAlignment="1">
      <alignment horizontal="center" vertical="center"/>
    </xf>
    <xf numFmtId="0" fontId="0" fillId="0" borderId="14" xfId="0" applyBorder="1" applyAlignment="1">
      <alignment horizontal="center" vertical="center"/>
    </xf>
    <xf numFmtId="0" fontId="11" fillId="12" borderId="33" xfId="0" applyFont="1" applyFill="1" applyBorder="1" applyAlignment="1" applyProtection="1">
      <alignment horizontal="center" vertical="center"/>
      <protection locked="0"/>
    </xf>
    <xf numFmtId="0" fontId="11" fillId="12" borderId="27" xfId="0" applyFont="1" applyFill="1" applyBorder="1" applyAlignment="1" applyProtection="1">
      <alignment horizontal="center" vertical="center"/>
      <protection locked="0"/>
    </xf>
    <xf numFmtId="0" fontId="11" fillId="12" borderId="43" xfId="0" applyFont="1" applyFill="1" applyBorder="1" applyAlignment="1" applyProtection="1">
      <alignment horizontal="center" vertical="center"/>
      <protection locked="0"/>
    </xf>
    <xf numFmtId="0" fontId="11" fillId="12" borderId="0" xfId="0" applyFont="1" applyFill="1" applyBorder="1" applyAlignment="1" applyProtection="1">
      <alignment horizontal="center" vertical="center"/>
      <protection locked="0"/>
    </xf>
    <xf numFmtId="0" fontId="11" fillId="12" borderId="64" xfId="0" applyFont="1" applyFill="1" applyBorder="1" applyAlignment="1" applyProtection="1">
      <alignment horizontal="center" vertical="center"/>
      <protection locked="0"/>
    </xf>
    <xf numFmtId="0" fontId="11" fillId="12" borderId="41" xfId="0" applyFont="1" applyFill="1" applyBorder="1" applyAlignment="1" applyProtection="1">
      <alignment horizontal="center" vertical="center"/>
      <protection locked="0"/>
    </xf>
    <xf numFmtId="0" fontId="2" fillId="0" borderId="4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7" xfId="0" applyFont="1" applyBorder="1" applyAlignment="1">
      <alignment horizontal="center" vertical="center" wrapText="1"/>
    </xf>
    <xf numFmtId="0" fontId="9" fillId="5" borderId="24" xfId="0" applyFont="1" applyFill="1" applyBorder="1" applyAlignment="1">
      <alignment horizontal="center" wrapText="1"/>
    </xf>
    <xf numFmtId="0" fontId="9" fillId="5" borderId="25" xfId="0" applyFont="1" applyFill="1" applyBorder="1" applyAlignment="1">
      <alignment horizontal="center" wrapText="1"/>
    </xf>
    <xf numFmtId="0" fontId="0" fillId="12" borderId="15" xfId="0" applyFill="1" applyBorder="1" applyAlignment="1" applyProtection="1">
      <alignment horizontal="left"/>
      <protection locked="0"/>
    </xf>
    <xf numFmtId="0" fontId="0" fillId="12" borderId="16" xfId="0" applyFill="1" applyBorder="1" applyAlignment="1" applyProtection="1">
      <alignment horizontal="left"/>
      <protection locked="0"/>
    </xf>
    <xf numFmtId="0" fontId="0" fillId="0" borderId="5" xfId="0" applyFont="1" applyBorder="1" applyAlignment="1">
      <alignment horizontal="left" vertical="top" wrapText="1"/>
    </xf>
    <xf numFmtId="0" fontId="0" fillId="0" borderId="12" xfId="0" applyFont="1" applyBorder="1" applyAlignment="1">
      <alignment horizontal="left" vertical="top" wrapText="1"/>
    </xf>
    <xf numFmtId="0" fontId="0" fillId="0" borderId="38" xfId="0" applyBorder="1" applyAlignment="1">
      <alignment horizontal="left"/>
    </xf>
    <xf numFmtId="0" fontId="0" fillId="2" borderId="1" xfId="0" applyFill="1" applyBorder="1" applyAlignment="1">
      <alignment horizontal="center"/>
    </xf>
    <xf numFmtId="0" fontId="0" fillId="2" borderId="14" xfId="0" applyFill="1" applyBorder="1" applyAlignment="1">
      <alignment horizontal="center"/>
    </xf>
    <xf numFmtId="0" fontId="0" fillId="12" borderId="16" xfId="0" applyFill="1" applyBorder="1" applyAlignment="1" applyProtection="1">
      <alignment horizontal="left" wrapText="1"/>
      <protection locked="0"/>
    </xf>
    <xf numFmtId="0" fontId="0" fillId="2" borderId="33" xfId="0" applyFill="1" applyBorder="1" applyAlignment="1">
      <alignment horizontal="center" vertical="center"/>
    </xf>
    <xf numFmtId="0" fontId="0" fillId="2" borderId="28" xfId="0" applyFill="1" applyBorder="1" applyAlignment="1">
      <alignment horizontal="center" vertical="center"/>
    </xf>
    <xf numFmtId="0" fontId="0" fillId="2" borderId="9" xfId="0" applyFill="1" applyBorder="1" applyAlignment="1">
      <alignment horizontal="center"/>
    </xf>
    <xf numFmtId="0" fontId="0" fillId="2" borderId="10" xfId="0" applyFill="1" applyBorder="1" applyAlignment="1">
      <alignment horizontal="center"/>
    </xf>
    <xf numFmtId="0" fontId="0" fillId="0" borderId="9" xfId="0" applyFill="1" applyBorder="1" applyAlignment="1">
      <alignment horizontal="center"/>
    </xf>
    <xf numFmtId="0" fontId="0" fillId="0" borderId="10" xfId="0" applyFill="1" applyBorder="1" applyAlignment="1">
      <alignment horizontal="center"/>
    </xf>
    <xf numFmtId="0" fontId="6" fillId="2" borderId="0" xfId="0" applyFont="1" applyFill="1" applyAlignment="1" applyProtection="1">
      <alignment horizontal="center"/>
      <protection locked="0"/>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0" fillId="0" borderId="37" xfId="0" applyBorder="1" applyAlignment="1">
      <alignment horizontal="center" vertical="center" wrapText="1"/>
    </xf>
    <xf numFmtId="0" fontId="0" fillId="2" borderId="31" xfId="0" applyFill="1" applyBorder="1" applyAlignment="1">
      <alignment horizontal="center" vertical="center" wrapText="1"/>
    </xf>
    <xf numFmtId="0" fontId="2" fillId="8" borderId="34" xfId="0" applyFont="1" applyFill="1" applyBorder="1" applyAlignment="1">
      <alignment horizontal="center" vertical="center" wrapText="1"/>
    </xf>
    <xf numFmtId="0" fontId="2" fillId="8" borderId="54" xfId="0" applyFont="1" applyFill="1" applyBorder="1" applyAlignment="1">
      <alignment horizontal="center" vertical="center" wrapText="1"/>
    </xf>
    <xf numFmtId="0" fontId="2" fillId="8" borderId="55" xfId="0" applyFont="1" applyFill="1" applyBorder="1" applyAlignment="1">
      <alignment horizontal="center" vertical="center" wrapText="1"/>
    </xf>
    <xf numFmtId="0" fontId="5" fillId="9" borderId="26" xfId="0" applyFont="1" applyFill="1" applyBorder="1" applyAlignment="1">
      <alignment horizontal="left"/>
    </xf>
    <xf numFmtId="0" fontId="0" fillId="12" borderId="31" xfId="0" applyFill="1" applyBorder="1" applyAlignment="1" applyProtection="1">
      <alignment horizontal="center"/>
      <protection locked="0"/>
    </xf>
    <xf numFmtId="0" fontId="0" fillId="12" borderId="28" xfId="0" applyFill="1" applyBorder="1" applyAlignment="1" applyProtection="1">
      <alignment horizontal="center"/>
      <protection locked="0"/>
    </xf>
    <xf numFmtId="0" fontId="0" fillId="12" borderId="31" xfId="0" applyFill="1" applyBorder="1" applyAlignment="1" applyProtection="1">
      <alignment horizontal="center" wrapText="1"/>
      <protection locked="0"/>
    </xf>
    <xf numFmtId="0" fontId="0" fillId="12" borderId="27" xfId="0" applyFill="1" applyBorder="1" applyAlignment="1" applyProtection="1">
      <alignment horizontal="center" wrapText="1"/>
      <protection locked="0"/>
    </xf>
    <xf numFmtId="0" fontId="0" fillId="12" borderId="28" xfId="0" applyFill="1" applyBorder="1" applyAlignment="1" applyProtection="1">
      <alignment horizontal="center" wrapText="1"/>
      <protection locked="0"/>
    </xf>
    <xf numFmtId="0" fontId="0" fillId="12" borderId="23" xfId="0" applyFill="1" applyBorder="1" applyAlignment="1" applyProtection="1">
      <alignment horizontal="center" wrapText="1"/>
      <protection locked="0"/>
    </xf>
    <xf numFmtId="0" fontId="0" fillId="12" borderId="0" xfId="0" applyFill="1" applyBorder="1" applyAlignment="1" applyProtection="1">
      <alignment horizontal="center" wrapText="1"/>
      <protection locked="0"/>
    </xf>
    <xf numFmtId="0" fontId="0" fillId="12" borderId="30" xfId="0" applyFill="1" applyBorder="1" applyAlignment="1" applyProtection="1">
      <alignment horizontal="center" wrapText="1"/>
      <protection locked="0"/>
    </xf>
    <xf numFmtId="0" fontId="0" fillId="12" borderId="56" xfId="0" applyFill="1" applyBorder="1" applyAlignment="1" applyProtection="1">
      <alignment horizontal="center" wrapText="1"/>
      <protection locked="0"/>
    </xf>
    <xf numFmtId="0" fontId="0" fillId="12" borderId="41" xfId="0" applyFill="1" applyBorder="1" applyAlignment="1" applyProtection="1">
      <alignment horizontal="center" wrapText="1"/>
      <protection locked="0"/>
    </xf>
    <xf numFmtId="0" fontId="0" fillId="12" borderId="42" xfId="0" applyFill="1" applyBorder="1" applyAlignment="1" applyProtection="1">
      <alignment horizontal="center" wrapText="1"/>
      <protection locked="0"/>
    </xf>
    <xf numFmtId="0" fontId="0" fillId="5" borderId="1" xfId="0" applyFill="1" applyBorder="1" applyAlignment="1">
      <alignment horizontal="center"/>
    </xf>
    <xf numFmtId="1" fontId="0" fillId="13" borderId="1" xfId="0" applyNumberFormat="1" applyFill="1" applyBorder="1" applyAlignment="1">
      <alignment horizontal="center"/>
    </xf>
    <xf numFmtId="1" fontId="2" fillId="0" borderId="16" xfId="0" applyNumberFormat="1" applyFont="1" applyBorder="1" applyAlignment="1">
      <alignment horizontal="center"/>
    </xf>
    <xf numFmtId="1" fontId="27" fillId="13" borderId="1" xfId="0" applyNumberFormat="1" applyFont="1" applyFill="1" applyBorder="1" applyAlignment="1">
      <alignment horizontal="center" vertical="center" wrapText="1"/>
    </xf>
    <xf numFmtId="1" fontId="27" fillId="13" borderId="14" xfId="0" applyNumberFormat="1" applyFont="1" applyFill="1" applyBorder="1" applyAlignment="1">
      <alignment horizontal="center" vertical="center" wrapText="1"/>
    </xf>
    <xf numFmtId="0" fontId="12" fillId="12" borderId="23" xfId="0" applyFont="1" applyFill="1" applyBorder="1" applyAlignment="1" applyProtection="1">
      <alignment horizontal="center" vertical="center"/>
      <protection locked="0"/>
    </xf>
    <xf numFmtId="0" fontId="12" fillId="12" borderId="0" xfId="0" applyFont="1" applyFill="1" applyBorder="1" applyAlignment="1" applyProtection="1">
      <alignment horizontal="center" vertical="center"/>
      <protection locked="0"/>
    </xf>
    <xf numFmtId="0" fontId="12" fillId="12" borderId="30" xfId="0" applyFont="1" applyFill="1" applyBorder="1" applyAlignment="1" applyProtection="1">
      <alignment horizontal="center" vertical="center"/>
      <protection locked="0"/>
    </xf>
    <xf numFmtId="0" fontId="12" fillId="12" borderId="56" xfId="0" applyFont="1" applyFill="1" applyBorder="1" applyAlignment="1" applyProtection="1">
      <alignment horizontal="center" vertical="center"/>
      <protection locked="0"/>
    </xf>
    <xf numFmtId="0" fontId="12" fillId="12" borderId="41" xfId="0" applyFont="1" applyFill="1" applyBorder="1" applyAlignment="1" applyProtection="1">
      <alignment horizontal="center" vertical="center"/>
      <protection locked="0"/>
    </xf>
    <xf numFmtId="0" fontId="12" fillId="12" borderId="42" xfId="0" applyFont="1" applyFill="1" applyBorder="1" applyAlignment="1" applyProtection="1">
      <alignment horizontal="center" vertical="center"/>
      <protection locked="0"/>
    </xf>
    <xf numFmtId="1" fontId="10" fillId="5" borderId="11" xfId="0" applyNumberFormat="1" applyFont="1" applyFill="1" applyBorder="1" applyAlignment="1">
      <alignment horizontal="center" vertical="center" wrapText="1"/>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5" fillId="0" borderId="23"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0" xfId="0" applyFont="1" applyFill="1" applyBorder="1" applyAlignment="1">
      <alignment horizontal="center" vertical="center"/>
    </xf>
    <xf numFmtId="1" fontId="11" fillId="0" borderId="16" xfId="0" applyNumberFormat="1" applyFont="1" applyFill="1" applyBorder="1" applyAlignment="1">
      <alignment horizontal="center" vertical="center" wrapText="1"/>
    </xf>
    <xf numFmtId="1" fontId="11" fillId="0" borderId="22" xfId="0" applyNumberFormat="1" applyFont="1" applyFill="1" applyBorder="1" applyAlignment="1">
      <alignment horizontal="center" vertical="center" wrapText="1"/>
    </xf>
    <xf numFmtId="0" fontId="0" fillId="0" borderId="25" xfId="0" applyFill="1" applyBorder="1" applyAlignment="1">
      <alignment horizontal="center" vertical="center"/>
    </xf>
    <xf numFmtId="0" fontId="0" fillId="0" borderId="26" xfId="0" applyFill="1" applyBorder="1" applyAlignment="1">
      <alignment horizontal="center" vertical="center"/>
    </xf>
    <xf numFmtId="9" fontId="0" fillId="2" borderId="1" xfId="1" applyFont="1" applyFill="1" applyBorder="1" applyAlignment="1" applyProtection="1">
      <alignment horizontal="center" vertical="center"/>
      <protection locked="0"/>
    </xf>
    <xf numFmtId="9" fontId="0" fillId="2" borderId="11" xfId="1" applyFont="1" applyFill="1" applyBorder="1" applyAlignment="1" applyProtection="1">
      <alignment horizontal="center" vertical="center"/>
      <protection locked="0"/>
    </xf>
    <xf numFmtId="0" fontId="9" fillId="10" borderId="0" xfId="0" applyFont="1" applyFill="1" applyBorder="1" applyAlignment="1">
      <alignment horizontal="center" vertical="center"/>
    </xf>
    <xf numFmtId="0" fontId="33" fillId="0" borderId="65"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21" xfId="0" applyFont="1" applyBorder="1" applyAlignment="1">
      <alignment horizontal="center" vertical="center" wrapText="1"/>
    </xf>
    <xf numFmtId="0" fontId="18" fillId="2" borderId="5" xfId="0" applyFont="1" applyFill="1" applyBorder="1" applyAlignment="1">
      <alignment horizontal="left" vertical="center" wrapText="1"/>
    </xf>
    <xf numFmtId="0" fontId="18" fillId="2" borderId="12" xfId="0" applyFont="1" applyFill="1" applyBorder="1" applyAlignment="1">
      <alignment horizontal="left" vertical="center" wrapText="1"/>
    </xf>
    <xf numFmtId="0" fontId="53" fillId="0" borderId="78" xfId="0" applyFont="1" applyBorder="1" applyAlignment="1">
      <alignment horizontal="center" vertical="center" wrapText="1"/>
    </xf>
    <xf numFmtId="0" fontId="53" fillId="0" borderId="76" xfId="0" applyFont="1" applyBorder="1" applyAlignment="1">
      <alignment horizontal="center" vertical="center" wrapText="1"/>
    </xf>
    <xf numFmtId="0" fontId="53" fillId="0" borderId="75" xfId="0" applyFont="1" applyBorder="1" applyAlignment="1">
      <alignment horizontal="center" vertical="center" wrapText="1"/>
    </xf>
    <xf numFmtId="0" fontId="53" fillId="0" borderId="78" xfId="0" applyFont="1" applyBorder="1" applyAlignment="1">
      <alignment horizontal="right" vertical="center" wrapText="1"/>
    </xf>
    <xf numFmtId="0" fontId="53" fillId="0" borderId="76" xfId="0" applyFont="1" applyBorder="1" applyAlignment="1">
      <alignment horizontal="right" vertical="center" wrapText="1"/>
    </xf>
    <xf numFmtId="0" fontId="53" fillId="0" borderId="75" xfId="0" applyFont="1" applyBorder="1" applyAlignment="1">
      <alignment horizontal="right" vertical="center" wrapText="1"/>
    </xf>
    <xf numFmtId="0" fontId="53" fillId="0" borderId="78" xfId="0" applyFont="1" applyBorder="1" applyAlignment="1">
      <alignment vertical="center" wrapText="1"/>
    </xf>
    <xf numFmtId="0" fontId="53" fillId="0" borderId="75" xfId="0" applyFont="1" applyBorder="1" applyAlignment="1">
      <alignment vertical="center" wrapText="1"/>
    </xf>
    <xf numFmtId="0" fontId="57" fillId="0" borderId="72" xfId="0" applyFont="1" applyBorder="1" applyAlignment="1">
      <alignment horizontal="justify" vertical="center" wrapText="1"/>
    </xf>
    <xf numFmtId="0" fontId="57" fillId="0" borderId="71" xfId="0" applyFont="1" applyBorder="1" applyAlignment="1">
      <alignment horizontal="justify" vertical="center" wrapText="1"/>
    </xf>
    <xf numFmtId="0" fontId="57" fillId="0" borderId="0" xfId="0" applyFont="1" applyAlignment="1">
      <alignment horizontal="center" vertical="center"/>
    </xf>
    <xf numFmtId="0" fontId="33" fillId="0" borderId="0" xfId="0" applyFont="1" applyAlignment="1">
      <alignment horizontal="center"/>
    </xf>
    <xf numFmtId="0" fontId="33" fillId="0" borderId="0" xfId="0" applyFont="1" applyBorder="1" applyAlignment="1">
      <alignment horizontal="center"/>
    </xf>
    <xf numFmtId="0" fontId="24" fillId="0" borderId="14"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5" xfId="0" applyFont="1" applyBorder="1" applyAlignment="1">
      <alignment horizontal="center" vertical="center" wrapText="1"/>
    </xf>
    <xf numFmtId="0" fontId="63" fillId="13" borderId="19" xfId="0" applyFont="1" applyFill="1" applyBorder="1" applyAlignment="1">
      <alignment horizontal="center" vertical="center"/>
    </xf>
    <xf numFmtId="0" fontId="63" fillId="13" borderId="20" xfId="0" applyFont="1" applyFill="1" applyBorder="1" applyAlignment="1">
      <alignment horizontal="center" vertical="center"/>
    </xf>
    <xf numFmtId="0" fontId="63" fillId="13" borderId="21" xfId="0" applyFont="1" applyFill="1" applyBorder="1" applyAlignment="1">
      <alignment horizontal="center" vertical="center"/>
    </xf>
    <xf numFmtId="0" fontId="62" fillId="13" borderId="65" xfId="0" applyFont="1" applyFill="1" applyBorder="1" applyAlignment="1">
      <alignment horizontal="left" vertical="center"/>
    </xf>
    <xf numFmtId="0" fontId="62" fillId="13" borderId="20" xfId="0" applyFont="1" applyFill="1" applyBorder="1" applyAlignment="1">
      <alignment horizontal="left" vertical="center"/>
    </xf>
    <xf numFmtId="0" fontId="62" fillId="13" borderId="24" xfId="0" applyFont="1" applyFill="1" applyBorder="1" applyAlignment="1">
      <alignment horizontal="left" vertical="center"/>
    </xf>
    <xf numFmtId="0" fontId="64" fillId="13" borderId="19" xfId="0" applyFont="1" applyFill="1" applyBorder="1" applyAlignment="1">
      <alignment horizontal="left" vertical="center"/>
    </xf>
    <xf numFmtId="0" fontId="64" fillId="13" borderId="20" xfId="0" applyFont="1" applyFill="1" applyBorder="1" applyAlignment="1">
      <alignment horizontal="left" vertical="center"/>
    </xf>
    <xf numFmtId="0" fontId="64" fillId="13" borderId="21" xfId="0" applyFont="1" applyFill="1" applyBorder="1" applyAlignment="1">
      <alignment horizontal="left" vertical="center"/>
    </xf>
    <xf numFmtId="0" fontId="24" fillId="0" borderId="11" xfId="0" applyFont="1" applyBorder="1" applyAlignment="1">
      <alignment horizontal="center" vertical="center" wrapText="1"/>
    </xf>
    <xf numFmtId="0" fontId="24" fillId="0" borderId="17" xfId="0" applyFont="1" applyBorder="1" applyAlignment="1">
      <alignment horizontal="center" vertical="center" wrapText="1"/>
    </xf>
    <xf numFmtId="2" fontId="34" fillId="0" borderId="0" xfId="0" applyNumberFormat="1" applyFont="1" applyFill="1" applyBorder="1" applyAlignment="1" applyProtection="1">
      <alignment horizontal="center" vertical="top" wrapText="1"/>
    </xf>
    <xf numFmtId="2" fontId="68" fillId="13" borderId="0" xfId="0" applyNumberFormat="1" applyFont="1" applyFill="1" applyBorder="1" applyAlignment="1" applyProtection="1">
      <alignment horizontal="center" vertical="top" wrapText="1"/>
    </xf>
    <xf numFmtId="2" fontId="67" fillId="13" borderId="1" xfId="0" applyNumberFormat="1" applyFont="1" applyFill="1" applyBorder="1" applyAlignment="1" applyProtection="1">
      <alignment horizontal="center" vertical="center" wrapText="1"/>
    </xf>
    <xf numFmtId="2" fontId="67" fillId="13" borderId="11" xfId="0" applyNumberFormat="1" applyFont="1" applyFill="1" applyBorder="1" applyAlignment="1" applyProtection="1">
      <alignment horizontal="center" vertical="center" wrapText="1"/>
    </xf>
    <xf numFmtId="2" fontId="67" fillId="13" borderId="6" xfId="0" applyNumberFormat="1" applyFont="1" applyFill="1" applyBorder="1" applyAlignment="1" applyProtection="1">
      <alignment horizontal="center" vertical="center" wrapText="1"/>
    </xf>
    <xf numFmtId="2" fontId="67" fillId="13" borderId="12" xfId="0" applyNumberFormat="1" applyFont="1" applyFill="1" applyBorder="1" applyAlignment="1" applyProtection="1">
      <alignment horizontal="center" vertical="center" wrapText="1"/>
    </xf>
    <xf numFmtId="2" fontId="36" fillId="0" borderId="1" xfId="0" applyNumberFormat="1" applyFont="1" applyFill="1" applyBorder="1" applyAlignment="1" applyProtection="1">
      <alignment horizontal="center" vertical="top" wrapText="1"/>
    </xf>
    <xf numFmtId="2" fontId="65" fillId="13" borderId="1" xfId="0" applyNumberFormat="1" applyFont="1" applyFill="1" applyBorder="1" applyAlignment="1" applyProtection="1">
      <alignment horizontal="left" vertical="center" wrapText="1"/>
    </xf>
    <xf numFmtId="2" fontId="66" fillId="13" borderId="29" xfId="0" applyNumberFormat="1" applyFont="1" applyFill="1" applyBorder="1" applyAlignment="1" applyProtection="1">
      <alignment horizontal="center" vertical="center" wrapText="1"/>
    </xf>
    <xf numFmtId="2" fontId="66" fillId="13" borderId="50" xfId="0" applyNumberFormat="1" applyFont="1" applyFill="1" applyBorder="1" applyAlignment="1" applyProtection="1">
      <alignment horizontal="center" vertical="center" wrapText="1"/>
    </xf>
    <xf numFmtId="2" fontId="66" fillId="13" borderId="9" xfId="0" applyNumberFormat="1" applyFont="1" applyFill="1" applyBorder="1" applyAlignment="1" applyProtection="1">
      <alignment horizontal="center" vertical="center" wrapText="1"/>
    </xf>
    <xf numFmtId="1" fontId="35" fillId="0" borderId="0" xfId="0" applyNumberFormat="1" applyFont="1" applyFill="1" applyBorder="1" applyAlignment="1" applyProtection="1">
      <alignment horizontal="center" vertical="top" wrapText="1"/>
    </xf>
    <xf numFmtId="0" fontId="0" fillId="0" borderId="1" xfId="0" applyBorder="1" applyAlignment="1">
      <alignment horizontal="center"/>
    </xf>
    <xf numFmtId="0" fontId="0" fillId="0" borderId="0" xfId="0" applyAlignment="1">
      <alignment horizontal="left" wrapText="1"/>
    </xf>
    <xf numFmtId="0" fontId="0" fillId="0" borderId="57" xfId="0" applyBorder="1" applyAlignment="1">
      <alignment horizontal="center"/>
    </xf>
    <xf numFmtId="0" fontId="37" fillId="0" borderId="1" xfId="0" applyFont="1" applyBorder="1" applyAlignment="1">
      <alignment vertical="center" wrapText="1"/>
    </xf>
    <xf numFmtId="0" fontId="37" fillId="0" borderId="33"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32" xfId="0" applyFont="1" applyBorder="1" applyAlignment="1">
      <alignment horizontal="center" vertical="center" wrapText="1"/>
    </xf>
    <xf numFmtId="0" fontId="37" fillId="0" borderId="38" xfId="0" applyFont="1" applyBorder="1" applyAlignment="1">
      <alignment horizontal="center" vertical="center" wrapText="1"/>
    </xf>
    <xf numFmtId="0" fontId="37" fillId="0" borderId="57" xfId="0" applyFont="1" applyBorder="1" applyAlignment="1">
      <alignment horizontal="center" vertical="center" wrapText="1"/>
    </xf>
    <xf numFmtId="0" fontId="37" fillId="0" borderId="52"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1" xfId="0" applyFont="1" applyBorder="1" applyAlignment="1">
      <alignment horizontal="right" vertical="center" wrapText="1"/>
    </xf>
    <xf numFmtId="0" fontId="37" fillId="0" borderId="11"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12" xfId="0" applyFont="1" applyBorder="1" applyAlignment="1">
      <alignment horizontal="center" vertical="center" wrapText="1"/>
    </xf>
    <xf numFmtId="0" fontId="30" fillId="14" borderId="0"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5" fillId="0" borderId="0" xfId="0" applyFont="1" applyFill="1" applyBorder="1" applyAlignment="1">
      <alignment horizontal="center" vertical="center" wrapText="1"/>
    </xf>
    <xf numFmtId="0" fontId="72" fillId="15" borderId="44" xfId="0" applyFont="1" applyFill="1" applyBorder="1" applyAlignment="1">
      <alignment vertical="center"/>
    </xf>
    <xf numFmtId="0" fontId="73" fillId="15" borderId="46" xfId="0" applyFont="1" applyFill="1" applyBorder="1" applyAlignment="1">
      <alignment vertical="center" wrapText="1"/>
    </xf>
    <xf numFmtId="0" fontId="74" fillId="0" borderId="70" xfId="0" applyFont="1" applyBorder="1" applyAlignment="1">
      <alignment horizontal="center" vertical="center"/>
    </xf>
    <xf numFmtId="0" fontId="74" fillId="0" borderId="55" xfId="0" applyFont="1" applyBorder="1" applyAlignment="1">
      <alignment vertical="center" wrapText="1"/>
    </xf>
    <xf numFmtId="0" fontId="74" fillId="0" borderId="71" xfId="0" applyFont="1" applyBorder="1" applyAlignment="1">
      <alignment horizontal="center" vertical="center"/>
    </xf>
    <xf numFmtId="0" fontId="74" fillId="0" borderId="42" xfId="0" applyFont="1" applyBorder="1" applyAlignment="1">
      <alignment vertical="center" wrapText="1"/>
    </xf>
    <xf numFmtId="0" fontId="74" fillId="0" borderId="79" xfId="0" applyFont="1" applyBorder="1" applyAlignment="1">
      <alignment horizontal="center" vertical="center"/>
    </xf>
    <xf numFmtId="0" fontId="74" fillId="0" borderId="30" xfId="0" applyFont="1" applyBorder="1" applyAlignment="1">
      <alignment vertical="center" wrapText="1"/>
    </xf>
    <xf numFmtId="0" fontId="71" fillId="0" borderId="42" xfId="0" applyFont="1" applyBorder="1" applyAlignment="1">
      <alignment vertical="center" wrapText="1"/>
    </xf>
    <xf numFmtId="0" fontId="75" fillId="16" borderId="42" xfId="0" applyFont="1" applyFill="1" applyBorder="1" applyAlignment="1">
      <alignment vertical="center" wrapText="1"/>
    </xf>
    <xf numFmtId="0" fontId="71" fillId="16" borderId="42" xfId="0" applyFont="1" applyFill="1" applyBorder="1" applyAlignment="1">
      <alignment vertical="center" wrapText="1"/>
    </xf>
  </cellXfs>
  <cellStyles count="4">
    <cellStyle name="Normal" xfId="0" builtinId="0"/>
    <cellStyle name="Normal 3" xfId="2"/>
    <cellStyle name="Normal_medical colleg5" xfId="3"/>
    <cellStyle name="Percent" xfId="1" builtinId="5"/>
  </cellStyles>
  <dxfs count="170">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ction%20Plan%20Part%20III%20RNTCP%20Name%20of%20District%20-%20Dec%20%2024%202014xls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s"/>
      <sheetName val="State PIP"/>
      <sheetName val="SOE Last four quarters"/>
      <sheetName val="List"/>
      <sheetName val="District"/>
      <sheetName val="Priority Areas"/>
      <sheetName val="Organization of services"/>
      <sheetName val="Contractual staff"/>
      <sheetName val="PP NGO Support"/>
      <sheetName val="RNTCP Training"/>
      <sheetName val="Districtwise Head summary"/>
      <sheetName val="Budget summary"/>
      <sheetName val="SOE Last four quarters (2)"/>
      <sheetName val="Norm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topLeftCell="A10" workbookViewId="0">
      <selection activeCell="B3" sqref="B3"/>
    </sheetView>
  </sheetViews>
  <sheetFormatPr defaultRowHeight="15" x14ac:dyDescent="0.25"/>
  <cols>
    <col min="2" max="2" width="98.42578125" style="70" customWidth="1"/>
  </cols>
  <sheetData>
    <row r="1" spans="1:2" ht="15.75" thickBot="1" x14ac:dyDescent="0.3"/>
    <row r="2" spans="1:2" ht="15.75" thickBot="1" x14ac:dyDescent="0.3">
      <c r="A2" s="2023"/>
      <c r="B2" s="2024" t="s">
        <v>858</v>
      </c>
    </row>
    <row r="3" spans="1:2" ht="90.75" thickBot="1" x14ac:dyDescent="0.3">
      <c r="A3" s="2025">
        <v>1</v>
      </c>
      <c r="B3" s="2026" t="s">
        <v>964</v>
      </c>
    </row>
    <row r="4" spans="1:2" ht="15.75" thickBot="1" x14ac:dyDescent="0.3">
      <c r="A4" s="2027">
        <v>2</v>
      </c>
      <c r="B4" s="2028" t="s">
        <v>965</v>
      </c>
    </row>
    <row r="5" spans="1:2" ht="15.75" thickBot="1" x14ac:dyDescent="0.3">
      <c r="A5" s="2027">
        <v>3</v>
      </c>
      <c r="B5" s="2028" t="s">
        <v>709</v>
      </c>
    </row>
    <row r="6" spans="1:2" ht="15.75" thickBot="1" x14ac:dyDescent="0.3">
      <c r="A6" s="2027">
        <v>4</v>
      </c>
      <c r="B6" s="2028" t="s">
        <v>710</v>
      </c>
    </row>
    <row r="7" spans="1:2" ht="30.75" thickBot="1" x14ac:dyDescent="0.3">
      <c r="A7" s="2027">
        <v>5</v>
      </c>
      <c r="B7" s="2028" t="s">
        <v>711</v>
      </c>
    </row>
    <row r="8" spans="1:2" ht="30.75" thickBot="1" x14ac:dyDescent="0.3">
      <c r="A8" s="2027">
        <v>6</v>
      </c>
      <c r="B8" s="2028" t="s">
        <v>966</v>
      </c>
    </row>
    <row r="9" spans="1:2" ht="15.75" thickBot="1" x14ac:dyDescent="0.3">
      <c r="A9" s="2027">
        <v>7</v>
      </c>
      <c r="B9" s="2028" t="s">
        <v>840</v>
      </c>
    </row>
    <row r="10" spans="1:2" ht="30.75" thickBot="1" x14ac:dyDescent="0.3">
      <c r="A10" s="2027">
        <v>8</v>
      </c>
      <c r="B10" s="2028" t="s">
        <v>852</v>
      </c>
    </row>
    <row r="11" spans="1:2" ht="30.75" thickBot="1" x14ac:dyDescent="0.3">
      <c r="A11" s="2027">
        <v>9</v>
      </c>
      <c r="B11" s="2028" t="s">
        <v>857</v>
      </c>
    </row>
    <row r="12" spans="1:2" ht="94.5" customHeight="1" thickBot="1" x14ac:dyDescent="0.3">
      <c r="A12" s="2027">
        <v>10</v>
      </c>
      <c r="B12" s="2028" t="s">
        <v>967</v>
      </c>
    </row>
    <row r="13" spans="1:2" ht="46.5" customHeight="1" thickBot="1" x14ac:dyDescent="0.3">
      <c r="A13" s="2029">
        <v>11</v>
      </c>
      <c r="B13" s="2030" t="s">
        <v>968</v>
      </c>
    </row>
    <row r="14" spans="1:2" ht="90.75" thickBot="1" x14ac:dyDescent="0.3">
      <c r="A14" s="2025">
        <v>12</v>
      </c>
      <c r="B14" s="2026" t="s">
        <v>969</v>
      </c>
    </row>
    <row r="15" spans="1:2" ht="45.75" thickBot="1" x14ac:dyDescent="0.3">
      <c r="A15" s="2027">
        <v>13</v>
      </c>
      <c r="B15" s="2031" t="s">
        <v>970</v>
      </c>
    </row>
    <row r="16" spans="1:2" ht="45.75" thickBot="1" x14ac:dyDescent="0.3">
      <c r="A16" s="2027">
        <v>14</v>
      </c>
      <c r="B16" s="2032" t="s">
        <v>971</v>
      </c>
    </row>
    <row r="17" spans="1:2" ht="30.75" thickBot="1" x14ac:dyDescent="0.3">
      <c r="A17" s="2027">
        <v>15</v>
      </c>
      <c r="B17" s="2033" t="s">
        <v>972</v>
      </c>
    </row>
    <row r="18" spans="1:2" ht="30.75" thickBot="1" x14ac:dyDescent="0.3">
      <c r="A18" s="2027">
        <v>16</v>
      </c>
      <c r="B18" s="2033" t="s">
        <v>973</v>
      </c>
    </row>
    <row r="19" spans="1:2" ht="45.75" thickBot="1" x14ac:dyDescent="0.3">
      <c r="A19" s="2027">
        <v>17</v>
      </c>
      <c r="B19" s="2033" t="s">
        <v>974</v>
      </c>
    </row>
    <row r="20" spans="1:2" ht="30.75" thickBot="1" x14ac:dyDescent="0.3">
      <c r="A20" s="2027">
        <v>18</v>
      </c>
      <c r="B20" s="2033" t="s">
        <v>975</v>
      </c>
    </row>
    <row r="21" spans="1:2" ht="15.75" thickBot="1" x14ac:dyDescent="0.3">
      <c r="A21" s="2027">
        <v>19</v>
      </c>
      <c r="B21" s="2028" t="s">
        <v>976</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pane xSplit="1" ySplit="6" topLeftCell="B7" activePane="bottomRight" state="frozen"/>
      <selection pane="topRight" activeCell="B1" sqref="B1"/>
      <selection pane="bottomLeft" activeCell="A7" sqref="A7"/>
      <selection pane="bottomRight" activeCell="A2" sqref="A2"/>
    </sheetView>
  </sheetViews>
  <sheetFormatPr defaultRowHeight="15" x14ac:dyDescent="0.25"/>
  <cols>
    <col min="1" max="1" width="20.140625" customWidth="1"/>
    <col min="8" max="8" width="12.140625" customWidth="1"/>
    <col min="9" max="9" width="10.7109375" customWidth="1"/>
  </cols>
  <sheetData>
    <row r="1" spans="1:10" x14ac:dyDescent="0.25">
      <c r="A1" s="363" t="s">
        <v>868</v>
      </c>
    </row>
    <row r="2" spans="1:10" x14ac:dyDescent="0.25">
      <c r="A2" t="s">
        <v>924</v>
      </c>
      <c r="B2" s="2007"/>
      <c r="C2" s="2007"/>
      <c r="D2" s="2007"/>
    </row>
    <row r="3" spans="1:10" ht="73.5" x14ac:dyDescent="0.25">
      <c r="A3" s="2008" t="s">
        <v>42</v>
      </c>
      <c r="B3" s="2008" t="s">
        <v>867</v>
      </c>
      <c r="C3" s="2008" t="s">
        <v>607</v>
      </c>
      <c r="D3" s="2009" t="s">
        <v>608</v>
      </c>
      <c r="E3" s="2010"/>
      <c r="F3" s="2010"/>
      <c r="G3" s="2011"/>
      <c r="H3" s="2008" t="s">
        <v>609</v>
      </c>
      <c r="I3" s="173" t="s">
        <v>610</v>
      </c>
      <c r="J3" s="2008" t="s">
        <v>612</v>
      </c>
    </row>
    <row r="4" spans="1:10" x14ac:dyDescent="0.25">
      <c r="A4" s="2008"/>
      <c r="B4" s="2008"/>
      <c r="C4" s="2008"/>
      <c r="D4" s="2012"/>
      <c r="E4" s="2013"/>
      <c r="F4" s="2013"/>
      <c r="G4" s="2014"/>
      <c r="H4" s="2008"/>
      <c r="I4" s="173" t="s">
        <v>611</v>
      </c>
      <c r="J4" s="2008"/>
    </row>
    <row r="5" spans="1:10" ht="15" customHeight="1" x14ac:dyDescent="0.25">
      <c r="A5" s="2008"/>
      <c r="B5" s="2008"/>
      <c r="C5" s="2008"/>
      <c r="D5" s="558" t="s">
        <v>647</v>
      </c>
      <c r="E5" s="558" t="s">
        <v>648</v>
      </c>
      <c r="F5" s="558" t="s">
        <v>649</v>
      </c>
      <c r="G5" s="558" t="s">
        <v>650</v>
      </c>
      <c r="H5" s="2008"/>
      <c r="I5" s="412"/>
      <c r="J5" s="2008"/>
    </row>
    <row r="6" spans="1:10" x14ac:dyDescent="0.25">
      <c r="A6" s="173"/>
      <c r="B6" s="592" t="s">
        <v>613</v>
      </c>
      <c r="C6" s="592" t="s">
        <v>614</v>
      </c>
      <c r="D6" s="2017" t="s">
        <v>866</v>
      </c>
      <c r="E6" s="2018"/>
      <c r="F6" s="2018"/>
      <c r="G6" s="2019"/>
      <c r="H6" s="592" t="s">
        <v>615</v>
      </c>
      <c r="I6" s="592" t="s">
        <v>616</v>
      </c>
      <c r="J6" s="592" t="s">
        <v>617</v>
      </c>
    </row>
    <row r="7" spans="1:10" x14ac:dyDescent="0.25">
      <c r="A7" s="173" t="s">
        <v>618</v>
      </c>
      <c r="B7" s="413"/>
      <c r="C7" s="413"/>
      <c r="D7" s="413"/>
      <c r="E7" s="413"/>
      <c r="F7" s="413"/>
      <c r="G7" s="413"/>
      <c r="H7" s="414"/>
      <c r="I7" s="414"/>
      <c r="J7" s="2015"/>
    </row>
    <row r="8" spans="1:10" x14ac:dyDescent="0.25">
      <c r="A8" s="173" t="s">
        <v>619</v>
      </c>
      <c r="B8" s="2015"/>
      <c r="C8" s="2015"/>
      <c r="D8" s="2015"/>
      <c r="E8" s="2015"/>
      <c r="F8" s="2015"/>
      <c r="G8" s="2015"/>
      <c r="H8" s="2016"/>
      <c r="I8" s="2016"/>
      <c r="J8" s="2015"/>
    </row>
    <row r="9" spans="1:10" x14ac:dyDescent="0.25">
      <c r="A9" s="173" t="s">
        <v>620</v>
      </c>
      <c r="B9" s="2015"/>
      <c r="C9" s="2015"/>
      <c r="D9" s="2015"/>
      <c r="E9" s="2015"/>
      <c r="F9" s="2015"/>
      <c r="G9" s="2015"/>
      <c r="H9" s="2016"/>
      <c r="I9" s="2016"/>
      <c r="J9" s="2015"/>
    </row>
    <row r="10" spans="1:10" x14ac:dyDescent="0.25">
      <c r="A10" s="173" t="s">
        <v>621</v>
      </c>
      <c r="B10" s="413"/>
      <c r="C10" s="413"/>
      <c r="D10" s="413"/>
      <c r="E10" s="413"/>
      <c r="F10" s="413"/>
      <c r="G10" s="413"/>
      <c r="H10" s="414"/>
      <c r="I10" s="414"/>
      <c r="J10" s="2015"/>
    </row>
    <row r="11" spans="1:10" ht="21" x14ac:dyDescent="0.25">
      <c r="A11" s="173" t="s">
        <v>622</v>
      </c>
      <c r="B11" s="2015"/>
      <c r="C11" s="2015"/>
      <c r="D11" s="2015"/>
      <c r="E11" s="2015"/>
      <c r="F11" s="2015"/>
      <c r="G11" s="2015"/>
      <c r="H11" s="2016"/>
      <c r="I11" s="2016"/>
      <c r="J11" s="2015"/>
    </row>
    <row r="12" spans="1:10" x14ac:dyDescent="0.25">
      <c r="A12" s="173" t="s">
        <v>623</v>
      </c>
      <c r="B12" s="2015"/>
      <c r="C12" s="2015"/>
      <c r="D12" s="2015"/>
      <c r="E12" s="2015"/>
      <c r="F12" s="2015"/>
      <c r="G12" s="2015"/>
      <c r="H12" s="2016"/>
      <c r="I12" s="2016"/>
      <c r="J12" s="2015"/>
    </row>
    <row r="13" spans="1:10" ht="21" x14ac:dyDescent="0.25">
      <c r="A13" s="173" t="s">
        <v>624</v>
      </c>
      <c r="B13" s="413"/>
      <c r="C13" s="413"/>
      <c r="D13" s="413"/>
      <c r="E13" s="413"/>
      <c r="F13" s="413"/>
      <c r="G13" s="413"/>
      <c r="H13" s="414"/>
      <c r="I13" s="414"/>
      <c r="J13" s="2015"/>
    </row>
    <row r="14" spans="1:10" ht="21" x14ac:dyDescent="0.25">
      <c r="A14" s="173" t="s">
        <v>625</v>
      </c>
      <c r="B14" s="413"/>
      <c r="C14" s="413"/>
      <c r="D14" s="413"/>
      <c r="E14" s="413"/>
      <c r="F14" s="413"/>
      <c r="G14" s="413"/>
      <c r="H14" s="414"/>
      <c r="I14" s="414"/>
      <c r="J14" s="2015"/>
    </row>
    <row r="15" spans="1:10" x14ac:dyDescent="0.25">
      <c r="A15" s="173" t="s">
        <v>626</v>
      </c>
      <c r="B15" s="413"/>
      <c r="C15" s="413"/>
      <c r="D15" s="413"/>
      <c r="E15" s="413"/>
      <c r="F15" s="413"/>
      <c r="G15" s="413"/>
      <c r="H15" s="414"/>
      <c r="I15" s="414"/>
      <c r="J15" s="2015"/>
    </row>
    <row r="16" spans="1:10" x14ac:dyDescent="0.25">
      <c r="A16" s="173" t="s">
        <v>627</v>
      </c>
      <c r="B16" s="413"/>
      <c r="C16" s="413"/>
      <c r="D16" s="413"/>
      <c r="E16" s="413"/>
      <c r="F16" s="413"/>
      <c r="G16" s="413"/>
      <c r="H16" s="414"/>
      <c r="I16" s="414"/>
      <c r="J16" s="2015"/>
    </row>
    <row r="17" spans="1:10" ht="21" x14ac:dyDescent="0.25">
      <c r="A17" s="173" t="s">
        <v>628</v>
      </c>
      <c r="B17" s="413"/>
      <c r="C17" s="413"/>
      <c r="D17" s="413"/>
      <c r="E17" s="413"/>
      <c r="F17" s="413"/>
      <c r="G17" s="413"/>
      <c r="H17" s="414"/>
      <c r="I17" s="414"/>
      <c r="J17" s="2015"/>
    </row>
    <row r="18" spans="1:10" x14ac:dyDescent="0.25">
      <c r="A18" s="173" t="s">
        <v>629</v>
      </c>
      <c r="B18" s="413"/>
      <c r="C18" s="413"/>
      <c r="D18" s="413"/>
      <c r="E18" s="413"/>
      <c r="F18" s="413"/>
      <c r="G18" s="413"/>
      <c r="H18" s="414"/>
      <c r="I18" s="414"/>
      <c r="J18" s="2015"/>
    </row>
    <row r="19" spans="1:10" x14ac:dyDescent="0.25">
      <c r="A19" s="173" t="s">
        <v>630</v>
      </c>
      <c r="B19" s="413"/>
      <c r="C19" s="413"/>
      <c r="D19" s="413"/>
      <c r="E19" s="413"/>
      <c r="F19" s="413"/>
      <c r="G19" s="413"/>
      <c r="H19" s="414"/>
      <c r="I19" s="414"/>
      <c r="J19" s="2015"/>
    </row>
    <row r="20" spans="1:10" x14ac:dyDescent="0.25">
      <c r="A20" s="173" t="s">
        <v>631</v>
      </c>
      <c r="B20" s="413"/>
      <c r="C20" s="413"/>
      <c r="D20" s="413"/>
      <c r="E20" s="413"/>
      <c r="F20" s="413"/>
      <c r="G20" s="413"/>
      <c r="H20" s="414"/>
      <c r="I20" s="414"/>
      <c r="J20" s="2015"/>
    </row>
    <row r="21" spans="1:10" ht="21" x14ac:dyDescent="0.25">
      <c r="A21" s="173" t="s">
        <v>632</v>
      </c>
      <c r="B21" s="413"/>
      <c r="C21" s="413"/>
      <c r="D21" s="413"/>
      <c r="E21" s="413"/>
      <c r="F21" s="413"/>
      <c r="G21" s="413"/>
      <c r="H21" s="414"/>
      <c r="I21" s="414"/>
      <c r="J21" s="2015"/>
    </row>
    <row r="22" spans="1:10" x14ac:dyDescent="0.25">
      <c r="A22" s="173" t="s">
        <v>633</v>
      </c>
      <c r="B22" s="413"/>
      <c r="C22" s="413"/>
      <c r="D22" s="413"/>
      <c r="E22" s="413"/>
      <c r="F22" s="413"/>
      <c r="G22" s="413"/>
      <c r="H22" s="414"/>
      <c r="I22" s="414"/>
      <c r="J22" s="2015"/>
    </row>
    <row r="23" spans="1:10" ht="21" x14ac:dyDescent="0.25">
      <c r="A23" s="173" t="s">
        <v>634</v>
      </c>
      <c r="B23" s="413"/>
      <c r="C23" s="413"/>
      <c r="D23" s="413"/>
      <c r="E23" s="413"/>
      <c r="F23" s="413"/>
      <c r="G23" s="413"/>
      <c r="H23" s="414"/>
      <c r="I23" s="414"/>
      <c r="J23" s="2015"/>
    </row>
    <row r="24" spans="1:10" x14ac:dyDescent="0.25">
      <c r="A24" s="173" t="s">
        <v>635</v>
      </c>
      <c r="B24" s="413"/>
      <c r="C24" s="413"/>
      <c r="D24" s="413"/>
      <c r="E24" s="413"/>
      <c r="F24" s="413"/>
      <c r="G24" s="413"/>
      <c r="H24" s="414"/>
      <c r="I24" s="414"/>
      <c r="J24" s="2015"/>
    </row>
    <row r="25" spans="1:10" ht="42" x14ac:dyDescent="0.25">
      <c r="A25" s="173" t="s">
        <v>636</v>
      </c>
      <c r="B25" s="413"/>
      <c r="C25" s="413"/>
      <c r="D25" s="413"/>
      <c r="E25" s="413"/>
      <c r="F25" s="413"/>
      <c r="G25" s="413"/>
      <c r="H25" s="414"/>
      <c r="I25" s="414"/>
      <c r="J25" s="2015"/>
    </row>
    <row r="26" spans="1:10" x14ac:dyDescent="0.25">
      <c r="A26" s="173" t="s">
        <v>637</v>
      </c>
      <c r="B26" s="413"/>
      <c r="C26" s="413"/>
      <c r="D26" s="413"/>
      <c r="E26" s="413"/>
      <c r="F26" s="413"/>
      <c r="G26" s="413"/>
      <c r="H26" s="414"/>
      <c r="I26" s="414"/>
      <c r="J26" s="2015"/>
    </row>
    <row r="27" spans="1:10" x14ac:dyDescent="0.25">
      <c r="A27" s="173" t="s">
        <v>638</v>
      </c>
      <c r="B27" s="413"/>
      <c r="C27" s="413"/>
      <c r="D27" s="413"/>
      <c r="E27" s="413"/>
      <c r="F27" s="413"/>
      <c r="G27" s="413"/>
      <c r="H27" s="414"/>
      <c r="I27" s="414"/>
      <c r="J27" s="414"/>
    </row>
    <row r="28" spans="1:10" x14ac:dyDescent="0.25">
      <c r="A28" s="173" t="s">
        <v>639</v>
      </c>
      <c r="B28" s="413"/>
      <c r="C28" s="413"/>
      <c r="D28" s="413"/>
      <c r="E28" s="413"/>
      <c r="F28" s="413"/>
      <c r="G28" s="413"/>
      <c r="H28" s="414"/>
      <c r="I28" s="414"/>
      <c r="J28" s="2016"/>
    </row>
    <row r="29" spans="1:10" ht="21" x14ac:dyDescent="0.25">
      <c r="A29" s="173" t="s">
        <v>640</v>
      </c>
      <c r="B29" s="413"/>
      <c r="C29" s="413"/>
      <c r="D29" s="413"/>
      <c r="E29" s="413"/>
      <c r="F29" s="413"/>
      <c r="G29" s="413"/>
      <c r="H29" s="414"/>
      <c r="I29" s="414"/>
      <c r="J29" s="2016"/>
    </row>
    <row r="30" spans="1:10" ht="42" x14ac:dyDescent="0.25">
      <c r="A30" s="173" t="s">
        <v>641</v>
      </c>
      <c r="B30" s="413"/>
      <c r="C30" s="413"/>
      <c r="D30" s="413"/>
      <c r="E30" s="413"/>
      <c r="F30" s="413"/>
      <c r="G30" s="413"/>
      <c r="H30" s="414"/>
      <c r="I30" s="414"/>
      <c r="J30" s="2016"/>
    </row>
    <row r="31" spans="1:10" ht="31.5" x14ac:dyDescent="0.25">
      <c r="A31" s="173" t="s">
        <v>642</v>
      </c>
      <c r="B31" s="413"/>
      <c r="C31" s="413"/>
      <c r="D31" s="413"/>
      <c r="E31" s="413"/>
      <c r="F31" s="413"/>
      <c r="G31" s="413"/>
      <c r="H31" s="414"/>
      <c r="I31" s="414"/>
      <c r="J31" s="2016"/>
    </row>
    <row r="32" spans="1:10" ht="42" x14ac:dyDescent="0.25">
      <c r="A32" s="842" t="s">
        <v>643</v>
      </c>
      <c r="B32" s="413"/>
      <c r="C32" s="413"/>
      <c r="D32" s="413"/>
      <c r="E32" s="413"/>
      <c r="F32" s="413"/>
      <c r="G32" s="413"/>
      <c r="H32" s="414"/>
      <c r="I32" s="414"/>
      <c r="J32" s="414"/>
    </row>
    <row r="33" spans="1:10" ht="52.5" x14ac:dyDescent="0.25">
      <c r="A33" s="842" t="s">
        <v>644</v>
      </c>
      <c r="B33" s="413"/>
      <c r="C33" s="413"/>
      <c r="D33" s="413"/>
      <c r="E33" s="413"/>
      <c r="F33" s="413"/>
      <c r="G33" s="413"/>
      <c r="H33" s="414"/>
      <c r="I33" s="414"/>
      <c r="J33" s="414"/>
    </row>
    <row r="34" spans="1:10" ht="52.5" x14ac:dyDescent="0.25">
      <c r="A34" s="842" t="s">
        <v>645</v>
      </c>
      <c r="B34" s="413"/>
      <c r="C34" s="413"/>
      <c r="D34" s="413"/>
      <c r="E34" s="413"/>
      <c r="F34" s="413"/>
      <c r="G34" s="413"/>
      <c r="H34" s="414"/>
      <c r="I34" s="414"/>
      <c r="J34" s="414"/>
    </row>
    <row r="35" spans="1:10" x14ac:dyDescent="0.25">
      <c r="A35" s="173" t="s">
        <v>646</v>
      </c>
      <c r="B35" s="413"/>
      <c r="C35" s="413"/>
      <c r="D35" s="413"/>
      <c r="E35" s="413"/>
      <c r="F35" s="413"/>
      <c r="G35" s="413"/>
      <c r="H35" s="414"/>
      <c r="I35" s="414"/>
      <c r="J35" s="414"/>
    </row>
    <row r="36" spans="1:10" x14ac:dyDescent="0.25">
      <c r="A36" s="415" t="s">
        <v>143</v>
      </c>
      <c r="B36" s="413"/>
      <c r="C36" s="413"/>
      <c r="D36" s="413"/>
      <c r="E36" s="413"/>
      <c r="F36" s="413"/>
      <c r="G36" s="413"/>
      <c r="H36" s="414"/>
      <c r="I36" s="414"/>
      <c r="J36" s="414"/>
    </row>
  </sheetData>
  <mergeCells count="26">
    <mergeCell ref="A3:A5"/>
    <mergeCell ref="B3:B5"/>
    <mergeCell ref="C3:C5"/>
    <mergeCell ref="D6:G6"/>
    <mergeCell ref="J28:J31"/>
    <mergeCell ref="I8:I9"/>
    <mergeCell ref="B11:B12"/>
    <mergeCell ref="C11:C12"/>
    <mergeCell ref="D11:D12"/>
    <mergeCell ref="E11:E12"/>
    <mergeCell ref="F11:F12"/>
    <mergeCell ref="G11:G12"/>
    <mergeCell ref="H11:H12"/>
    <mergeCell ref="I11:I12"/>
    <mergeCell ref="J7:J26"/>
    <mergeCell ref="B8:B9"/>
    <mergeCell ref="B2:D2"/>
    <mergeCell ref="J3:J5"/>
    <mergeCell ref="H3:H5"/>
    <mergeCell ref="D3:G4"/>
    <mergeCell ref="F8:F9"/>
    <mergeCell ref="G8:G9"/>
    <mergeCell ref="H8:H9"/>
    <mergeCell ref="C8:C9"/>
    <mergeCell ref="D8:D9"/>
    <mergeCell ref="E8:E9"/>
  </mergeCell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workbookViewId="0">
      <selection sqref="A1:A2"/>
    </sheetView>
  </sheetViews>
  <sheetFormatPr defaultRowHeight="15" x14ac:dyDescent="0.25"/>
  <cols>
    <col min="1" max="1" width="7.7109375" style="6" customWidth="1"/>
    <col min="2" max="2" width="28.140625" style="6" customWidth="1"/>
    <col min="3" max="3" width="19.42578125" style="6" customWidth="1"/>
    <col min="4" max="27" width="11.5703125" style="7" customWidth="1"/>
    <col min="28" max="28" width="10" style="6" bestFit="1" customWidth="1"/>
    <col min="29" max="16384" width="9.140625" style="6"/>
  </cols>
  <sheetData>
    <row r="1" spans="1:28" customFormat="1" x14ac:dyDescent="0.25">
      <c r="A1" s="1503" t="s">
        <v>0</v>
      </c>
      <c r="B1" s="1503" t="s">
        <v>1</v>
      </c>
      <c r="C1" s="1503"/>
      <c r="D1" s="1041" t="s">
        <v>525</v>
      </c>
      <c r="E1" s="1041" t="s">
        <v>525</v>
      </c>
      <c r="F1" s="1041" t="s">
        <v>525</v>
      </c>
      <c r="G1" s="1041" t="s">
        <v>525</v>
      </c>
      <c r="H1" s="1041" t="s">
        <v>525</v>
      </c>
      <c r="I1" s="1041" t="s">
        <v>525</v>
      </c>
      <c r="J1" s="1041" t="s">
        <v>525</v>
      </c>
      <c r="K1" s="1041" t="s">
        <v>525</v>
      </c>
      <c r="L1" s="1041" t="s">
        <v>525</v>
      </c>
      <c r="M1" s="1041" t="s">
        <v>525</v>
      </c>
      <c r="N1" s="1041" t="s">
        <v>525</v>
      </c>
      <c r="O1" s="1041" t="s">
        <v>525</v>
      </c>
      <c r="P1" s="1041" t="s">
        <v>525</v>
      </c>
      <c r="Q1" s="1041" t="s">
        <v>525</v>
      </c>
      <c r="R1" s="1041" t="s">
        <v>525</v>
      </c>
      <c r="S1" s="1041" t="s">
        <v>525</v>
      </c>
      <c r="T1" s="1041" t="s">
        <v>525</v>
      </c>
      <c r="U1" s="1041" t="s">
        <v>525</v>
      </c>
      <c r="V1" s="1041" t="s">
        <v>525</v>
      </c>
      <c r="W1" s="1041" t="s">
        <v>525</v>
      </c>
      <c r="X1" s="1041" t="s">
        <v>525</v>
      </c>
      <c r="Y1" s="1041" t="s">
        <v>525</v>
      </c>
      <c r="Z1" s="1041" t="s">
        <v>525</v>
      </c>
      <c r="AA1" s="1041" t="s">
        <v>525</v>
      </c>
      <c r="AB1" s="1041" t="s">
        <v>2</v>
      </c>
    </row>
    <row r="2" spans="1:28" customFormat="1" x14ac:dyDescent="0.25">
      <c r="A2" s="1503"/>
      <c r="B2" s="1503"/>
      <c r="C2" s="1503"/>
      <c r="D2" s="1041"/>
      <c r="E2" s="1041"/>
      <c r="F2" s="1041"/>
      <c r="G2" s="1041"/>
      <c r="H2" s="1041"/>
      <c r="I2" s="1041"/>
      <c r="J2" s="1041"/>
      <c r="K2" s="1041"/>
      <c r="L2" s="1041"/>
      <c r="M2" s="1041"/>
      <c r="N2" s="1041"/>
      <c r="O2" s="1041"/>
      <c r="P2" s="1041"/>
      <c r="Q2" s="1041"/>
      <c r="R2" s="1041"/>
      <c r="S2" s="1041"/>
      <c r="T2" s="1041"/>
      <c r="U2" s="1041"/>
      <c r="V2" s="1041"/>
      <c r="W2" s="1041"/>
      <c r="X2" s="1041"/>
      <c r="Y2" s="1041"/>
      <c r="Z2" s="1041"/>
      <c r="AA2" s="1041"/>
      <c r="AB2" s="1041"/>
    </row>
    <row r="3" spans="1:28" customFormat="1" ht="15.75" x14ac:dyDescent="0.25">
      <c r="A3" s="1">
        <v>1</v>
      </c>
      <c r="B3" s="1511" t="s">
        <v>3</v>
      </c>
      <c r="C3" s="1511"/>
      <c r="D3" s="3"/>
      <c r="E3" s="3"/>
      <c r="F3" s="3"/>
      <c r="G3" s="3"/>
      <c r="H3" s="3"/>
      <c r="I3" s="3"/>
      <c r="J3" s="3"/>
      <c r="K3" s="3"/>
      <c r="L3" s="3"/>
      <c r="M3" s="3"/>
      <c r="N3" s="3"/>
      <c r="O3" s="3"/>
      <c r="P3" s="3"/>
      <c r="Q3" s="3"/>
      <c r="R3" s="3"/>
      <c r="S3" s="3"/>
      <c r="T3" s="3"/>
      <c r="U3" s="3"/>
      <c r="V3" s="3"/>
      <c r="W3" s="3"/>
      <c r="X3" s="3"/>
      <c r="Y3" s="3"/>
      <c r="Z3" s="3"/>
      <c r="AA3" s="3"/>
      <c r="AB3" s="4"/>
    </row>
    <row r="4" spans="1:28" customFormat="1" ht="15.75" x14ac:dyDescent="0.25">
      <c r="A4" s="1">
        <v>2</v>
      </c>
      <c r="B4" s="1511" t="s">
        <v>4</v>
      </c>
      <c r="C4" s="1511"/>
      <c r="D4" s="3"/>
      <c r="E4" s="3"/>
      <c r="F4" s="3"/>
      <c r="G4" s="3"/>
      <c r="H4" s="3"/>
      <c r="I4" s="3"/>
      <c r="J4" s="3"/>
      <c r="K4" s="3"/>
      <c r="L4" s="3"/>
      <c r="M4" s="3"/>
      <c r="N4" s="3"/>
      <c r="O4" s="3"/>
      <c r="P4" s="3"/>
      <c r="Q4" s="3"/>
      <c r="R4" s="3"/>
      <c r="S4" s="3"/>
      <c r="T4" s="3"/>
      <c r="U4" s="3"/>
      <c r="V4" s="3"/>
      <c r="W4" s="3"/>
      <c r="X4" s="3"/>
      <c r="Y4" s="3"/>
      <c r="Z4" s="3"/>
      <c r="AA4" s="3"/>
      <c r="AB4" s="4"/>
    </row>
    <row r="5" spans="1:28" customFormat="1" ht="15.75" x14ac:dyDescent="0.25">
      <c r="A5" s="1">
        <v>3</v>
      </c>
      <c r="B5" s="1511" t="s">
        <v>5</v>
      </c>
      <c r="C5" s="1511"/>
      <c r="D5" s="3"/>
      <c r="E5" s="3"/>
      <c r="F5" s="3"/>
      <c r="G5" s="3"/>
      <c r="H5" s="3"/>
      <c r="I5" s="3"/>
      <c r="J5" s="3"/>
      <c r="K5" s="3"/>
      <c r="L5" s="3"/>
      <c r="M5" s="3"/>
      <c r="N5" s="3"/>
      <c r="O5" s="3"/>
      <c r="P5" s="3"/>
      <c r="Q5" s="3"/>
      <c r="R5" s="3"/>
      <c r="S5" s="3"/>
      <c r="T5" s="3"/>
      <c r="U5" s="3"/>
      <c r="V5" s="3"/>
      <c r="W5" s="3"/>
      <c r="X5" s="3"/>
      <c r="Y5" s="3"/>
      <c r="Z5" s="3"/>
      <c r="AA5" s="3"/>
      <c r="AB5" s="4"/>
    </row>
    <row r="6" spans="1:28" customFormat="1" ht="15.75" x14ac:dyDescent="0.25">
      <c r="A6" s="1">
        <v>4</v>
      </c>
      <c r="B6" s="1511" t="s">
        <v>6</v>
      </c>
      <c r="C6" s="1511"/>
      <c r="D6" s="3"/>
      <c r="E6" s="3"/>
      <c r="F6" s="3"/>
      <c r="G6" s="3"/>
      <c r="H6" s="3"/>
      <c r="I6" s="3"/>
      <c r="J6" s="3"/>
      <c r="K6" s="3"/>
      <c r="L6" s="3"/>
      <c r="M6" s="3"/>
      <c r="N6" s="3"/>
      <c r="O6" s="3"/>
      <c r="P6" s="3"/>
      <c r="Q6" s="3"/>
      <c r="R6" s="3"/>
      <c r="S6" s="3"/>
      <c r="T6" s="3"/>
      <c r="U6" s="3"/>
      <c r="V6" s="3"/>
      <c r="W6" s="3"/>
      <c r="X6" s="3"/>
      <c r="Y6" s="3"/>
      <c r="Z6" s="3"/>
      <c r="AA6" s="3"/>
      <c r="AB6" s="4"/>
    </row>
    <row r="7" spans="1:28" customFormat="1" ht="15.75" x14ac:dyDescent="0.25">
      <c r="A7" s="1">
        <v>5</v>
      </c>
      <c r="B7" s="1511" t="s">
        <v>7</v>
      </c>
      <c r="C7" s="1511"/>
      <c r="D7" s="3"/>
      <c r="E7" s="3"/>
      <c r="F7" s="3"/>
      <c r="G7" s="3"/>
      <c r="H7" s="3"/>
      <c r="I7" s="3"/>
      <c r="J7" s="3"/>
      <c r="K7" s="3"/>
      <c r="L7" s="3"/>
      <c r="M7" s="3"/>
      <c r="N7" s="3"/>
      <c r="O7" s="3"/>
      <c r="P7" s="3"/>
      <c r="Q7" s="3"/>
      <c r="R7" s="3"/>
      <c r="S7" s="3"/>
      <c r="T7" s="3"/>
      <c r="U7" s="3"/>
      <c r="V7" s="3"/>
      <c r="W7" s="3"/>
      <c r="X7" s="3"/>
      <c r="Y7" s="3"/>
      <c r="Z7" s="3"/>
      <c r="AA7" s="3"/>
      <c r="AB7" s="4"/>
    </row>
    <row r="8" spans="1:28" customFormat="1" ht="15.75" x14ac:dyDescent="0.25">
      <c r="A8" s="1">
        <v>6</v>
      </c>
      <c r="B8" s="1511" t="s">
        <v>8</v>
      </c>
      <c r="C8" s="1511"/>
      <c r="D8" s="3"/>
      <c r="E8" s="3"/>
      <c r="F8" s="3"/>
      <c r="G8" s="3"/>
      <c r="H8" s="3"/>
      <c r="I8" s="3"/>
      <c r="J8" s="3"/>
      <c r="K8" s="3"/>
      <c r="L8" s="3"/>
      <c r="M8" s="3"/>
      <c r="N8" s="3"/>
      <c r="O8" s="3"/>
      <c r="P8" s="3"/>
      <c r="Q8" s="3"/>
      <c r="R8" s="3"/>
      <c r="S8" s="3"/>
      <c r="T8" s="3"/>
      <c r="U8" s="3"/>
      <c r="V8" s="3"/>
      <c r="W8" s="3"/>
      <c r="X8" s="3"/>
      <c r="Y8" s="3"/>
      <c r="Z8" s="3"/>
      <c r="AA8" s="3"/>
      <c r="AB8" s="4"/>
    </row>
    <row r="9" spans="1:28" customFormat="1" ht="15.75" x14ac:dyDescent="0.25">
      <c r="A9" s="1">
        <v>7</v>
      </c>
      <c r="B9" s="1511" t="s">
        <v>9</v>
      </c>
      <c r="C9" s="1511"/>
      <c r="D9" s="3"/>
      <c r="E9" s="3"/>
      <c r="F9" s="3"/>
      <c r="G9" s="3"/>
      <c r="H9" s="3"/>
      <c r="I9" s="3"/>
      <c r="J9" s="3"/>
      <c r="K9" s="3"/>
      <c r="L9" s="3"/>
      <c r="M9" s="3"/>
      <c r="N9" s="3"/>
      <c r="O9" s="3"/>
      <c r="P9" s="3"/>
      <c r="Q9" s="3"/>
      <c r="R9" s="3"/>
      <c r="S9" s="3"/>
      <c r="T9" s="3"/>
      <c r="U9" s="3"/>
      <c r="V9" s="3"/>
      <c r="W9" s="3"/>
      <c r="X9" s="3"/>
      <c r="Y9" s="3"/>
      <c r="Z9" s="3"/>
      <c r="AA9" s="3"/>
      <c r="AB9" s="4"/>
    </row>
    <row r="10" spans="1:28" customFormat="1" ht="15.75" x14ac:dyDescent="0.25">
      <c r="A10" s="1">
        <v>8</v>
      </c>
      <c r="B10" s="1511" t="s">
        <v>10</v>
      </c>
      <c r="C10" s="1511"/>
      <c r="D10" s="3"/>
      <c r="E10" s="3"/>
      <c r="F10" s="3"/>
      <c r="G10" s="3"/>
      <c r="H10" s="3"/>
      <c r="I10" s="3"/>
      <c r="J10" s="3"/>
      <c r="K10" s="3"/>
      <c r="L10" s="3"/>
      <c r="M10" s="3"/>
      <c r="N10" s="3"/>
      <c r="O10" s="3"/>
      <c r="P10" s="3"/>
      <c r="Q10" s="3"/>
      <c r="R10" s="3"/>
      <c r="S10" s="3"/>
      <c r="T10" s="3"/>
      <c r="U10" s="3"/>
      <c r="V10" s="3"/>
      <c r="W10" s="3"/>
      <c r="X10" s="3"/>
      <c r="Y10" s="3"/>
      <c r="Z10" s="3"/>
      <c r="AA10" s="3"/>
      <c r="AB10" s="4"/>
    </row>
    <row r="11" spans="1:28" customFormat="1" ht="15.75" x14ac:dyDescent="0.25">
      <c r="A11" s="1">
        <v>9</v>
      </c>
      <c r="B11" s="1511" t="s">
        <v>11</v>
      </c>
      <c r="C11" s="1511"/>
      <c r="D11" s="3"/>
      <c r="E11" s="3"/>
      <c r="F11" s="3"/>
      <c r="G11" s="3"/>
      <c r="H11" s="3"/>
      <c r="I11" s="3"/>
      <c r="J11" s="3"/>
      <c r="K11" s="3"/>
      <c r="L11" s="3"/>
      <c r="M11" s="3"/>
      <c r="N11" s="3"/>
      <c r="O11" s="3"/>
      <c r="P11" s="3"/>
      <c r="Q11" s="3"/>
      <c r="R11" s="3"/>
      <c r="S11" s="3"/>
      <c r="T11" s="3"/>
      <c r="U11" s="3"/>
      <c r="V11" s="3"/>
      <c r="W11" s="3"/>
      <c r="X11" s="3"/>
      <c r="Y11" s="3"/>
      <c r="Z11" s="3"/>
      <c r="AA11" s="3"/>
      <c r="AB11" s="4"/>
    </row>
    <row r="12" spans="1:28" customFormat="1" ht="15.75" x14ac:dyDescent="0.25">
      <c r="A12" s="1">
        <v>10</v>
      </c>
      <c r="B12" s="1511" t="s">
        <v>12</v>
      </c>
      <c r="C12" s="1511"/>
      <c r="D12" s="3"/>
      <c r="E12" s="3"/>
      <c r="F12" s="3"/>
      <c r="G12" s="3"/>
      <c r="H12" s="3"/>
      <c r="I12" s="3"/>
      <c r="J12" s="3"/>
      <c r="K12" s="3"/>
      <c r="L12" s="3"/>
      <c r="M12" s="3"/>
      <c r="N12" s="3"/>
      <c r="O12" s="3"/>
      <c r="P12" s="3"/>
      <c r="Q12" s="3"/>
      <c r="R12" s="3"/>
      <c r="S12" s="3"/>
      <c r="T12" s="3"/>
      <c r="U12" s="3"/>
      <c r="V12" s="3"/>
      <c r="W12" s="3"/>
      <c r="X12" s="3"/>
      <c r="Y12" s="3"/>
      <c r="Z12" s="3"/>
      <c r="AA12" s="3"/>
      <c r="AB12" s="4"/>
    </row>
    <row r="13" spans="1:28" customFormat="1" ht="15.75" x14ac:dyDescent="0.25">
      <c r="A13" s="1">
        <v>11</v>
      </c>
      <c r="B13" s="1511" t="s">
        <v>13</v>
      </c>
      <c r="C13" s="1511"/>
      <c r="D13" s="3"/>
      <c r="E13" s="3"/>
      <c r="F13" s="3"/>
      <c r="G13" s="3"/>
      <c r="H13" s="3"/>
      <c r="I13" s="3"/>
      <c r="J13" s="3"/>
      <c r="K13" s="3"/>
      <c r="L13" s="3"/>
      <c r="M13" s="3"/>
      <c r="N13" s="3"/>
      <c r="O13" s="3"/>
      <c r="P13" s="3"/>
      <c r="Q13" s="3"/>
      <c r="R13" s="3"/>
      <c r="S13" s="3"/>
      <c r="T13" s="3"/>
      <c r="U13" s="3"/>
      <c r="V13" s="3"/>
      <c r="W13" s="3"/>
      <c r="X13" s="3"/>
      <c r="Y13" s="3"/>
      <c r="Z13" s="3"/>
      <c r="AA13" s="3"/>
      <c r="AB13" s="4"/>
    </row>
    <row r="14" spans="1:28" customFormat="1" ht="15.75" x14ac:dyDescent="0.25">
      <c r="A14" s="1">
        <v>12</v>
      </c>
      <c r="B14" s="1511" t="s">
        <v>14</v>
      </c>
      <c r="C14" s="1511"/>
      <c r="D14" s="3"/>
      <c r="E14" s="3"/>
      <c r="F14" s="3"/>
      <c r="G14" s="3"/>
      <c r="H14" s="3"/>
      <c r="I14" s="3"/>
      <c r="J14" s="3"/>
      <c r="K14" s="3"/>
      <c r="L14" s="3"/>
      <c r="M14" s="3"/>
      <c r="N14" s="3"/>
      <c r="O14" s="3"/>
      <c r="P14" s="3"/>
      <c r="Q14" s="3"/>
      <c r="R14" s="3"/>
      <c r="S14" s="3"/>
      <c r="T14" s="3"/>
      <c r="U14" s="3"/>
      <c r="V14" s="3"/>
      <c r="W14" s="3"/>
      <c r="X14" s="3"/>
      <c r="Y14" s="3"/>
      <c r="Z14" s="3"/>
      <c r="AA14" s="3"/>
      <c r="AB14" s="4"/>
    </row>
    <row r="15" spans="1:28" customFormat="1" ht="15.75" x14ac:dyDescent="0.25">
      <c r="A15" s="1">
        <v>13</v>
      </c>
      <c r="B15" s="1511" t="s">
        <v>15</v>
      </c>
      <c r="C15" s="1511"/>
      <c r="D15" s="3"/>
      <c r="E15" s="3"/>
      <c r="F15" s="3"/>
      <c r="G15" s="3"/>
      <c r="H15" s="3"/>
      <c r="I15" s="3"/>
      <c r="J15" s="3"/>
      <c r="K15" s="3"/>
      <c r="L15" s="3"/>
      <c r="M15" s="3"/>
      <c r="N15" s="3"/>
      <c r="O15" s="3"/>
      <c r="P15" s="3"/>
      <c r="Q15" s="3"/>
      <c r="R15" s="3"/>
      <c r="S15" s="3"/>
      <c r="T15" s="3"/>
      <c r="U15" s="3"/>
      <c r="V15" s="3"/>
      <c r="W15" s="3"/>
      <c r="X15" s="3"/>
      <c r="Y15" s="3"/>
      <c r="Z15" s="3"/>
      <c r="AA15" s="3"/>
      <c r="AB15" s="4"/>
    </row>
    <row r="16" spans="1:28" customFormat="1" ht="15.75" x14ac:dyDescent="0.25">
      <c r="A16" s="1">
        <v>14</v>
      </c>
      <c r="B16" s="1511" t="s">
        <v>16</v>
      </c>
      <c r="C16" s="1511"/>
      <c r="D16" s="3"/>
      <c r="E16" s="3"/>
      <c r="F16" s="3"/>
      <c r="G16" s="3"/>
      <c r="H16" s="3"/>
      <c r="I16" s="3"/>
      <c r="J16" s="3"/>
      <c r="K16" s="3"/>
      <c r="L16" s="3"/>
      <c r="M16" s="3"/>
      <c r="N16" s="3"/>
      <c r="O16" s="3"/>
      <c r="P16" s="3"/>
      <c r="Q16" s="3"/>
      <c r="R16" s="3"/>
      <c r="S16" s="3"/>
      <c r="T16" s="3"/>
      <c r="U16" s="3"/>
      <c r="V16" s="3"/>
      <c r="W16" s="3"/>
      <c r="X16" s="3"/>
      <c r="Y16" s="3"/>
      <c r="Z16" s="3"/>
      <c r="AA16" s="3"/>
      <c r="AB16" s="4"/>
    </row>
    <row r="17" spans="1:28" customFormat="1" ht="15.75" x14ac:dyDescent="0.25">
      <c r="A17" s="176">
        <v>15</v>
      </c>
      <c r="B17" s="1511" t="s">
        <v>251</v>
      </c>
      <c r="C17" s="1511"/>
      <c r="D17" s="3"/>
      <c r="E17" s="3"/>
      <c r="F17" s="3"/>
      <c r="G17" s="3"/>
      <c r="H17" s="3"/>
      <c r="I17" s="3"/>
      <c r="J17" s="3"/>
      <c r="K17" s="3"/>
      <c r="L17" s="3"/>
      <c r="M17" s="3"/>
      <c r="N17" s="3"/>
      <c r="O17" s="3"/>
      <c r="P17" s="3"/>
      <c r="Q17" s="3"/>
      <c r="R17" s="3"/>
      <c r="S17" s="3"/>
      <c r="T17" s="3"/>
      <c r="U17" s="3"/>
      <c r="V17" s="3"/>
      <c r="W17" s="3"/>
      <c r="X17" s="3"/>
      <c r="Y17" s="3"/>
      <c r="Z17" s="3"/>
      <c r="AA17" s="3"/>
      <c r="AB17" s="4"/>
    </row>
    <row r="18" spans="1:28" customFormat="1" ht="15.75" x14ac:dyDescent="0.25">
      <c r="A18" s="176">
        <v>16</v>
      </c>
      <c r="B18" s="1511" t="s">
        <v>17</v>
      </c>
      <c r="C18" s="1511"/>
      <c r="D18" s="3"/>
      <c r="E18" s="3"/>
      <c r="F18" s="3"/>
      <c r="G18" s="3"/>
      <c r="H18" s="3"/>
      <c r="I18" s="3"/>
      <c r="J18" s="3"/>
      <c r="K18" s="3"/>
      <c r="L18" s="3"/>
      <c r="M18" s="3"/>
      <c r="N18" s="3"/>
      <c r="O18" s="3"/>
      <c r="P18" s="3"/>
      <c r="Q18" s="3"/>
      <c r="R18" s="3"/>
      <c r="S18" s="3"/>
      <c r="T18" s="3"/>
      <c r="U18" s="3"/>
      <c r="V18" s="3"/>
      <c r="W18" s="3"/>
      <c r="X18" s="3"/>
      <c r="Y18" s="3"/>
      <c r="Z18" s="3"/>
      <c r="AA18" s="3"/>
      <c r="AB18" s="4"/>
    </row>
    <row r="19" spans="1:28" customFormat="1" ht="15.75" customHeight="1" x14ac:dyDescent="0.25">
      <c r="A19" s="176">
        <v>17</v>
      </c>
      <c r="B19" s="1511" t="s">
        <v>18</v>
      </c>
      <c r="C19" s="1511"/>
      <c r="D19" s="3"/>
      <c r="E19" s="3"/>
      <c r="F19" s="3"/>
      <c r="G19" s="3"/>
      <c r="H19" s="3"/>
      <c r="I19" s="3"/>
      <c r="J19" s="3"/>
      <c r="K19" s="3"/>
      <c r="L19" s="3"/>
      <c r="M19" s="3"/>
      <c r="N19" s="3"/>
      <c r="O19" s="3"/>
      <c r="P19" s="3"/>
      <c r="Q19" s="3"/>
      <c r="R19" s="3"/>
      <c r="S19" s="3"/>
      <c r="T19" s="3"/>
      <c r="U19" s="3"/>
      <c r="V19" s="3"/>
      <c r="W19" s="3"/>
      <c r="X19" s="3"/>
      <c r="Y19" s="3"/>
      <c r="Z19" s="3"/>
      <c r="AA19" s="3"/>
      <c r="AB19" s="4"/>
    </row>
    <row r="20" spans="1:28" customFormat="1" ht="15.75" customHeight="1" x14ac:dyDescent="0.25">
      <c r="A20" s="176">
        <v>18</v>
      </c>
      <c r="B20" s="1511" t="s">
        <v>19</v>
      </c>
      <c r="C20" s="1511"/>
      <c r="D20" s="3"/>
      <c r="E20" s="3"/>
      <c r="F20" s="3"/>
      <c r="G20" s="3"/>
      <c r="H20" s="3"/>
      <c r="I20" s="3"/>
      <c r="J20" s="3"/>
      <c r="K20" s="3"/>
      <c r="L20" s="3"/>
      <c r="M20" s="3"/>
      <c r="N20" s="3"/>
      <c r="O20" s="3"/>
      <c r="P20" s="3"/>
      <c r="Q20" s="3"/>
      <c r="R20" s="3"/>
      <c r="S20" s="3"/>
      <c r="T20" s="3"/>
      <c r="U20" s="3"/>
      <c r="V20" s="3"/>
      <c r="W20" s="3"/>
      <c r="X20" s="3"/>
      <c r="Y20" s="3"/>
      <c r="Z20" s="3"/>
      <c r="AA20" s="3"/>
      <c r="AB20" s="4"/>
    </row>
    <row r="21" spans="1:28" customFormat="1" ht="15.75" customHeight="1" x14ac:dyDescent="0.25">
      <c r="A21" s="176">
        <v>19</v>
      </c>
      <c r="B21" s="1531" t="s">
        <v>20</v>
      </c>
      <c r="C21" s="1531"/>
      <c r="D21" s="3"/>
      <c r="E21" s="3"/>
      <c r="F21" s="3"/>
      <c r="G21" s="3"/>
      <c r="H21" s="3"/>
      <c r="I21" s="3"/>
      <c r="J21" s="3"/>
      <c r="K21" s="3"/>
      <c r="L21" s="3"/>
      <c r="M21" s="3"/>
      <c r="N21" s="3"/>
      <c r="O21" s="3"/>
      <c r="P21" s="3"/>
      <c r="Q21" s="3"/>
      <c r="R21" s="3"/>
      <c r="S21" s="3"/>
      <c r="T21" s="3"/>
      <c r="U21" s="3"/>
      <c r="V21" s="3"/>
      <c r="W21" s="3"/>
      <c r="X21" s="3"/>
      <c r="Y21" s="3"/>
      <c r="Z21" s="3"/>
      <c r="AA21" s="3"/>
      <c r="AB21" s="4"/>
    </row>
    <row r="22" spans="1:28" customFormat="1" ht="15.75" x14ac:dyDescent="0.25">
      <c r="A22" s="1"/>
      <c r="B22" s="1511" t="s">
        <v>2</v>
      </c>
      <c r="C22" s="1511"/>
      <c r="D22" s="3"/>
      <c r="E22" s="3"/>
      <c r="F22" s="3"/>
      <c r="G22" s="3"/>
      <c r="H22" s="3"/>
      <c r="I22" s="3"/>
      <c r="J22" s="3"/>
      <c r="K22" s="3"/>
      <c r="L22" s="3"/>
      <c r="M22" s="3"/>
      <c r="N22" s="3"/>
      <c r="O22" s="3"/>
      <c r="P22" s="3"/>
      <c r="Q22" s="3"/>
      <c r="R22" s="3"/>
      <c r="S22" s="3"/>
      <c r="T22" s="3"/>
      <c r="U22" s="3"/>
      <c r="V22" s="3"/>
      <c r="W22" s="3"/>
      <c r="X22" s="3"/>
      <c r="Y22" s="3"/>
      <c r="Z22" s="3"/>
      <c r="AA22" s="3"/>
      <c r="AB22" s="4"/>
    </row>
    <row r="23" spans="1:28" customFormat="1" ht="15.75" x14ac:dyDescent="0.25">
      <c r="A23" s="5">
        <v>20</v>
      </c>
      <c r="B23" s="1511" t="s">
        <v>21</v>
      </c>
      <c r="C23" s="1511"/>
      <c r="D23" s="3"/>
      <c r="E23" s="3"/>
      <c r="F23" s="3"/>
      <c r="G23" s="3"/>
      <c r="H23" s="3"/>
      <c r="I23" s="3"/>
      <c r="J23" s="3"/>
      <c r="K23" s="3"/>
      <c r="L23" s="3"/>
      <c r="M23" s="3"/>
      <c r="N23" s="3"/>
      <c r="O23" s="3"/>
      <c r="P23" s="3"/>
      <c r="Q23" s="3"/>
      <c r="R23" s="3"/>
      <c r="S23" s="3"/>
      <c r="T23" s="3"/>
      <c r="U23" s="3"/>
      <c r="V23" s="3"/>
      <c r="W23" s="3"/>
      <c r="X23" s="3"/>
      <c r="Y23" s="3"/>
      <c r="Z23" s="3"/>
      <c r="AA23" s="3"/>
      <c r="AB23" s="4"/>
    </row>
    <row r="24" spans="1:28" customFormat="1" ht="15.75" x14ac:dyDescent="0.25">
      <c r="A24" s="1"/>
      <c r="B24" s="1511" t="s">
        <v>22</v>
      </c>
      <c r="C24" s="1511"/>
      <c r="D24" s="3"/>
      <c r="E24" s="3"/>
      <c r="F24" s="3"/>
      <c r="G24" s="3"/>
      <c r="H24" s="3"/>
      <c r="I24" s="3"/>
      <c r="J24" s="3"/>
      <c r="K24" s="3"/>
      <c r="L24" s="3"/>
      <c r="M24" s="3"/>
      <c r="N24" s="3"/>
      <c r="O24" s="3"/>
      <c r="P24" s="3"/>
      <c r="Q24" s="3"/>
      <c r="R24" s="3"/>
      <c r="S24" s="3"/>
      <c r="T24" s="3"/>
      <c r="U24" s="3"/>
      <c r="V24" s="3"/>
      <c r="W24" s="3"/>
      <c r="X24" s="3"/>
      <c r="Y24" s="3"/>
      <c r="Z24" s="3"/>
      <c r="AA24" s="3"/>
      <c r="AB24" s="4"/>
    </row>
  </sheetData>
  <mergeCells count="49">
    <mergeCell ref="G1:G2"/>
    <mergeCell ref="B17:C17"/>
    <mergeCell ref="A1:A2"/>
    <mergeCell ref="B1:C2"/>
    <mergeCell ref="D1:D2"/>
    <mergeCell ref="E1:E2"/>
    <mergeCell ref="F1:F2"/>
    <mergeCell ref="B11:C11"/>
    <mergeCell ref="B5:C5"/>
    <mergeCell ref="B6:C6"/>
    <mergeCell ref="B7:C7"/>
    <mergeCell ref="B8:C8"/>
    <mergeCell ref="B9:C9"/>
    <mergeCell ref="B10:C10"/>
    <mergeCell ref="S1:S2"/>
    <mergeCell ref="H1:H2"/>
    <mergeCell ref="I1:I2"/>
    <mergeCell ref="J1:J2"/>
    <mergeCell ref="K1:K2"/>
    <mergeCell ref="L1:L2"/>
    <mergeCell ref="M1:M2"/>
    <mergeCell ref="Z1:Z2"/>
    <mergeCell ref="AA1:AA2"/>
    <mergeCell ref="AB1:AB2"/>
    <mergeCell ref="B3:C3"/>
    <mergeCell ref="B4:C4"/>
    <mergeCell ref="T1:T2"/>
    <mergeCell ref="U1:U2"/>
    <mergeCell ref="V1:V2"/>
    <mergeCell ref="W1:W2"/>
    <mergeCell ref="X1:X2"/>
    <mergeCell ref="Y1:Y2"/>
    <mergeCell ref="N1:N2"/>
    <mergeCell ref="O1:O2"/>
    <mergeCell ref="P1:P2"/>
    <mergeCell ref="Q1:Q2"/>
    <mergeCell ref="R1:R2"/>
    <mergeCell ref="B24:C24"/>
    <mergeCell ref="B12:C12"/>
    <mergeCell ref="B13:C13"/>
    <mergeCell ref="B14:C14"/>
    <mergeCell ref="B15:C15"/>
    <mergeCell ref="B16:C16"/>
    <mergeCell ref="B18:C18"/>
    <mergeCell ref="B19:C19"/>
    <mergeCell ref="B20:C20"/>
    <mergeCell ref="B21:C21"/>
    <mergeCell ref="B22:C22"/>
    <mergeCell ref="B23:C2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workbookViewId="0">
      <selection activeCell="D1" sqref="D1:D2"/>
    </sheetView>
  </sheetViews>
  <sheetFormatPr defaultRowHeight="15" x14ac:dyDescent="0.25"/>
  <cols>
    <col min="1" max="1" width="7.7109375" style="6" customWidth="1"/>
    <col min="2" max="2" width="28.140625" style="6" customWidth="1"/>
    <col min="3" max="3" width="19.42578125" style="6" customWidth="1"/>
    <col min="4" max="27" width="11.5703125" style="7" customWidth="1"/>
    <col min="28" max="28" width="10" style="6" bestFit="1" customWidth="1"/>
    <col min="29" max="16384" width="9.140625" style="6"/>
  </cols>
  <sheetData>
    <row r="1" spans="1:28" customFormat="1" x14ac:dyDescent="0.25">
      <c r="A1" s="1503" t="s">
        <v>0</v>
      </c>
      <c r="B1" s="1503" t="s">
        <v>1</v>
      </c>
      <c r="C1" s="1503"/>
      <c r="D1" s="1041"/>
      <c r="E1" s="1041"/>
      <c r="F1" s="1041"/>
      <c r="G1" s="1041"/>
      <c r="H1" s="1041"/>
      <c r="I1" s="1041"/>
      <c r="J1" s="1041"/>
      <c r="K1" s="1041"/>
      <c r="L1" s="1041"/>
      <c r="M1" s="1041"/>
      <c r="N1" s="1041"/>
      <c r="O1" s="1041"/>
      <c r="P1" s="1041"/>
      <c r="Q1" s="1041"/>
      <c r="R1" s="1041"/>
      <c r="S1" s="1041"/>
      <c r="T1" s="1041"/>
      <c r="U1" s="1041"/>
      <c r="V1" s="1041"/>
      <c r="W1" s="1041"/>
      <c r="X1" s="1041"/>
      <c r="Y1" s="1041"/>
      <c r="Z1" s="1041"/>
      <c r="AA1" s="1041"/>
      <c r="AB1" s="1041"/>
    </row>
    <row r="2" spans="1:28" customFormat="1" x14ac:dyDescent="0.25">
      <c r="A2" s="1503"/>
      <c r="B2" s="1503"/>
      <c r="C2" s="1503"/>
      <c r="D2" s="1041"/>
      <c r="E2" s="1041"/>
      <c r="F2" s="1041"/>
      <c r="G2" s="1041"/>
      <c r="H2" s="1041"/>
      <c r="I2" s="1041"/>
      <c r="J2" s="1041"/>
      <c r="K2" s="1041"/>
      <c r="L2" s="1041"/>
      <c r="M2" s="1041"/>
      <c r="N2" s="1041"/>
      <c r="O2" s="1041"/>
      <c r="P2" s="1041"/>
      <c r="Q2" s="1041"/>
      <c r="R2" s="1041"/>
      <c r="S2" s="1041"/>
      <c r="T2" s="1041"/>
      <c r="U2" s="1041"/>
      <c r="V2" s="1041"/>
      <c r="W2" s="1041"/>
      <c r="X2" s="1041"/>
      <c r="Y2" s="1041"/>
      <c r="Z2" s="1041"/>
      <c r="AA2" s="1041"/>
      <c r="AB2" s="1041"/>
    </row>
    <row r="3" spans="1:28" customFormat="1" ht="15.75" x14ac:dyDescent="0.25">
      <c r="A3" s="1">
        <v>1</v>
      </c>
      <c r="B3" s="1511" t="s">
        <v>3</v>
      </c>
      <c r="C3" s="1511"/>
      <c r="D3" s="3"/>
      <c r="E3" s="3"/>
      <c r="F3" s="3"/>
      <c r="G3" s="3"/>
      <c r="H3" s="3"/>
      <c r="I3" s="3"/>
      <c r="J3" s="3"/>
      <c r="K3" s="3"/>
      <c r="L3" s="3"/>
      <c r="M3" s="3"/>
      <c r="N3" s="3"/>
      <c r="O3" s="3"/>
      <c r="P3" s="3"/>
      <c r="Q3" s="3"/>
      <c r="R3" s="3"/>
      <c r="S3" s="3"/>
      <c r="T3" s="3"/>
      <c r="U3" s="3"/>
      <c r="V3" s="3"/>
      <c r="W3" s="3"/>
      <c r="X3" s="3"/>
      <c r="Y3" s="3"/>
      <c r="Z3" s="3"/>
      <c r="AA3" s="3"/>
      <c r="AB3" s="4"/>
    </row>
    <row r="4" spans="1:28" customFormat="1" ht="15.75" x14ac:dyDescent="0.25">
      <c r="A4" s="1">
        <v>2</v>
      </c>
      <c r="B4" s="1511" t="s">
        <v>4</v>
      </c>
      <c r="C4" s="1511"/>
      <c r="D4" s="3"/>
      <c r="E4" s="3"/>
      <c r="F4" s="3"/>
      <c r="G4" s="3"/>
      <c r="H4" s="3"/>
      <c r="I4" s="3"/>
      <c r="J4" s="3"/>
      <c r="K4" s="3"/>
      <c r="L4" s="3"/>
      <c r="M4" s="3"/>
      <c r="N4" s="3"/>
      <c r="O4" s="3"/>
      <c r="P4" s="3"/>
      <c r="Q4" s="3"/>
      <c r="R4" s="3"/>
      <c r="S4" s="3"/>
      <c r="T4" s="3"/>
      <c r="U4" s="3"/>
      <c r="V4" s="3"/>
      <c r="W4" s="3"/>
      <c r="X4" s="3"/>
      <c r="Y4" s="3"/>
      <c r="Z4" s="3"/>
      <c r="AA4" s="3"/>
      <c r="AB4" s="4"/>
    </row>
    <row r="5" spans="1:28" customFormat="1" ht="15.75" x14ac:dyDescent="0.25">
      <c r="A5" s="1">
        <v>3</v>
      </c>
      <c r="B5" s="1511" t="s">
        <v>5</v>
      </c>
      <c r="C5" s="1511"/>
      <c r="D5" s="3"/>
      <c r="E5" s="3"/>
      <c r="F5" s="3"/>
      <c r="G5" s="3"/>
      <c r="H5" s="3"/>
      <c r="I5" s="3"/>
      <c r="J5" s="3"/>
      <c r="K5" s="3"/>
      <c r="L5" s="3"/>
      <c r="M5" s="3"/>
      <c r="N5" s="3"/>
      <c r="O5" s="3"/>
      <c r="P5" s="3"/>
      <c r="Q5" s="3"/>
      <c r="R5" s="3"/>
      <c r="S5" s="3"/>
      <c r="T5" s="3"/>
      <c r="U5" s="3"/>
      <c r="V5" s="3"/>
      <c r="W5" s="3"/>
      <c r="X5" s="3"/>
      <c r="Y5" s="3"/>
      <c r="Z5" s="3"/>
      <c r="AA5" s="3"/>
      <c r="AB5" s="4"/>
    </row>
    <row r="6" spans="1:28" customFormat="1" ht="15.75" x14ac:dyDescent="0.25">
      <c r="A6" s="1">
        <v>4</v>
      </c>
      <c r="B6" s="1511" t="s">
        <v>6</v>
      </c>
      <c r="C6" s="1511"/>
      <c r="D6" s="3"/>
      <c r="E6" s="3"/>
      <c r="F6" s="3"/>
      <c r="G6" s="3"/>
      <c r="H6" s="3"/>
      <c r="I6" s="3"/>
      <c r="J6" s="3"/>
      <c r="K6" s="3"/>
      <c r="L6" s="3"/>
      <c r="M6" s="3"/>
      <c r="N6" s="3"/>
      <c r="O6" s="3"/>
      <c r="P6" s="3"/>
      <c r="Q6" s="3"/>
      <c r="R6" s="3"/>
      <c r="S6" s="3"/>
      <c r="T6" s="3"/>
      <c r="U6" s="3"/>
      <c r="V6" s="3"/>
      <c r="W6" s="3"/>
      <c r="X6" s="3"/>
      <c r="Y6" s="3"/>
      <c r="Z6" s="3"/>
      <c r="AA6" s="3"/>
      <c r="AB6" s="4"/>
    </row>
    <row r="7" spans="1:28" customFormat="1" ht="15.75" x14ac:dyDescent="0.25">
      <c r="A7" s="1">
        <v>5</v>
      </c>
      <c r="B7" s="1511" t="s">
        <v>7</v>
      </c>
      <c r="C7" s="1511"/>
      <c r="D7" s="3"/>
      <c r="E7" s="3"/>
      <c r="F7" s="3"/>
      <c r="G7" s="3"/>
      <c r="H7" s="3"/>
      <c r="I7" s="3"/>
      <c r="J7" s="3"/>
      <c r="K7" s="3"/>
      <c r="L7" s="3"/>
      <c r="M7" s="3"/>
      <c r="N7" s="3"/>
      <c r="O7" s="3"/>
      <c r="P7" s="3"/>
      <c r="Q7" s="3"/>
      <c r="R7" s="3"/>
      <c r="S7" s="3"/>
      <c r="T7" s="3"/>
      <c r="U7" s="3"/>
      <c r="V7" s="3"/>
      <c r="W7" s="3"/>
      <c r="X7" s="3"/>
      <c r="Y7" s="3"/>
      <c r="Z7" s="3"/>
      <c r="AA7" s="3"/>
      <c r="AB7" s="4"/>
    </row>
    <row r="8" spans="1:28" customFormat="1" ht="15.75" x14ac:dyDescent="0.25">
      <c r="A8" s="1">
        <v>6</v>
      </c>
      <c r="B8" s="1511" t="s">
        <v>8</v>
      </c>
      <c r="C8" s="1511"/>
      <c r="D8" s="3"/>
      <c r="E8" s="3"/>
      <c r="F8" s="3"/>
      <c r="G8" s="3"/>
      <c r="H8" s="3"/>
      <c r="I8" s="3"/>
      <c r="J8" s="3"/>
      <c r="K8" s="3"/>
      <c r="L8" s="3"/>
      <c r="M8" s="3"/>
      <c r="N8" s="3"/>
      <c r="O8" s="3"/>
      <c r="P8" s="3"/>
      <c r="Q8" s="3"/>
      <c r="R8" s="3"/>
      <c r="S8" s="3"/>
      <c r="T8" s="3"/>
      <c r="U8" s="3"/>
      <c r="V8" s="3"/>
      <c r="W8" s="3"/>
      <c r="X8" s="3"/>
      <c r="Y8" s="3"/>
      <c r="Z8" s="3"/>
      <c r="AA8" s="3"/>
      <c r="AB8" s="4"/>
    </row>
    <row r="9" spans="1:28" customFormat="1" ht="15.75" x14ac:dyDescent="0.25">
      <c r="A9" s="1">
        <v>7</v>
      </c>
      <c r="B9" s="1511" t="s">
        <v>9</v>
      </c>
      <c r="C9" s="1511"/>
      <c r="D9" s="3"/>
      <c r="E9" s="3"/>
      <c r="F9" s="3"/>
      <c r="G9" s="3"/>
      <c r="H9" s="3"/>
      <c r="I9" s="3"/>
      <c r="J9" s="3"/>
      <c r="K9" s="3"/>
      <c r="L9" s="3"/>
      <c r="M9" s="3"/>
      <c r="N9" s="3"/>
      <c r="O9" s="3"/>
      <c r="P9" s="3"/>
      <c r="Q9" s="3"/>
      <c r="R9" s="3"/>
      <c r="S9" s="3"/>
      <c r="T9" s="3"/>
      <c r="U9" s="3"/>
      <c r="V9" s="3"/>
      <c r="W9" s="3"/>
      <c r="X9" s="3"/>
      <c r="Y9" s="3"/>
      <c r="Z9" s="3"/>
      <c r="AA9" s="3"/>
      <c r="AB9" s="4"/>
    </row>
    <row r="10" spans="1:28" customFormat="1" ht="15.75" x14ac:dyDescent="0.25">
      <c r="A10" s="1">
        <v>8</v>
      </c>
      <c r="B10" s="1511" t="s">
        <v>10</v>
      </c>
      <c r="C10" s="1511"/>
      <c r="D10" s="3"/>
      <c r="E10" s="3"/>
      <c r="F10" s="3"/>
      <c r="G10" s="3"/>
      <c r="H10" s="3"/>
      <c r="I10" s="3"/>
      <c r="J10" s="3"/>
      <c r="K10" s="3"/>
      <c r="L10" s="3"/>
      <c r="M10" s="3"/>
      <c r="N10" s="3"/>
      <c r="O10" s="3"/>
      <c r="P10" s="3"/>
      <c r="Q10" s="3"/>
      <c r="R10" s="3"/>
      <c r="S10" s="3"/>
      <c r="T10" s="3"/>
      <c r="U10" s="3"/>
      <c r="V10" s="3"/>
      <c r="W10" s="3"/>
      <c r="X10" s="3"/>
      <c r="Y10" s="3"/>
      <c r="Z10" s="3"/>
      <c r="AA10" s="3"/>
      <c r="AB10" s="4"/>
    </row>
    <row r="11" spans="1:28" customFormat="1" ht="15.75" x14ac:dyDescent="0.25">
      <c r="A11" s="1">
        <v>9</v>
      </c>
      <c r="B11" s="1511" t="s">
        <v>11</v>
      </c>
      <c r="C11" s="1511"/>
      <c r="D11" s="3"/>
      <c r="E11" s="3"/>
      <c r="F11" s="3"/>
      <c r="G11" s="3"/>
      <c r="H11" s="3"/>
      <c r="I11" s="3"/>
      <c r="J11" s="3"/>
      <c r="K11" s="3"/>
      <c r="L11" s="3"/>
      <c r="M11" s="3"/>
      <c r="N11" s="3"/>
      <c r="O11" s="3"/>
      <c r="P11" s="3"/>
      <c r="Q11" s="3"/>
      <c r="R11" s="3"/>
      <c r="S11" s="3"/>
      <c r="T11" s="3"/>
      <c r="U11" s="3"/>
      <c r="V11" s="3"/>
      <c r="W11" s="3"/>
      <c r="X11" s="3"/>
      <c r="Y11" s="3"/>
      <c r="Z11" s="3"/>
      <c r="AA11" s="3"/>
      <c r="AB11" s="4"/>
    </row>
    <row r="12" spans="1:28" customFormat="1" ht="15.75" x14ac:dyDescent="0.25">
      <c r="A12" s="1">
        <v>10</v>
      </c>
      <c r="B12" s="1511" t="s">
        <v>12</v>
      </c>
      <c r="C12" s="1511"/>
      <c r="D12" s="3"/>
      <c r="E12" s="3"/>
      <c r="F12" s="3"/>
      <c r="G12" s="3"/>
      <c r="H12" s="3"/>
      <c r="I12" s="3"/>
      <c r="J12" s="3"/>
      <c r="K12" s="3"/>
      <c r="L12" s="3"/>
      <c r="M12" s="3"/>
      <c r="N12" s="3"/>
      <c r="O12" s="3"/>
      <c r="P12" s="3"/>
      <c r="Q12" s="3"/>
      <c r="R12" s="3"/>
      <c r="S12" s="3"/>
      <c r="T12" s="3"/>
      <c r="U12" s="3"/>
      <c r="V12" s="3"/>
      <c r="W12" s="3"/>
      <c r="X12" s="3"/>
      <c r="Y12" s="3"/>
      <c r="Z12" s="3"/>
      <c r="AA12" s="3"/>
      <c r="AB12" s="4"/>
    </row>
    <row r="13" spans="1:28" customFormat="1" ht="15.75" x14ac:dyDescent="0.25">
      <c r="A13" s="1">
        <v>11</v>
      </c>
      <c r="B13" s="1511" t="s">
        <v>13</v>
      </c>
      <c r="C13" s="1511"/>
      <c r="D13" s="3"/>
      <c r="E13" s="3"/>
      <c r="F13" s="3"/>
      <c r="G13" s="3"/>
      <c r="H13" s="3"/>
      <c r="I13" s="3"/>
      <c r="J13" s="3"/>
      <c r="K13" s="3"/>
      <c r="L13" s="3"/>
      <c r="M13" s="3"/>
      <c r="N13" s="3"/>
      <c r="O13" s="3"/>
      <c r="P13" s="3"/>
      <c r="Q13" s="3"/>
      <c r="R13" s="3"/>
      <c r="S13" s="3"/>
      <c r="T13" s="3"/>
      <c r="U13" s="3"/>
      <c r="V13" s="3"/>
      <c r="W13" s="3"/>
      <c r="X13" s="3"/>
      <c r="Y13" s="3"/>
      <c r="Z13" s="3"/>
      <c r="AA13" s="3"/>
      <c r="AB13" s="4"/>
    </row>
    <row r="14" spans="1:28" customFormat="1" ht="15.75" x14ac:dyDescent="0.25">
      <c r="A14" s="1">
        <v>12</v>
      </c>
      <c r="B14" s="1511" t="s">
        <v>14</v>
      </c>
      <c r="C14" s="1511"/>
      <c r="D14" s="3"/>
      <c r="E14" s="3"/>
      <c r="F14" s="3"/>
      <c r="G14" s="3"/>
      <c r="H14" s="3"/>
      <c r="I14" s="3"/>
      <c r="J14" s="3"/>
      <c r="K14" s="3"/>
      <c r="L14" s="3"/>
      <c r="M14" s="3"/>
      <c r="N14" s="3"/>
      <c r="O14" s="3"/>
      <c r="P14" s="3"/>
      <c r="Q14" s="3"/>
      <c r="R14" s="3"/>
      <c r="S14" s="3"/>
      <c r="T14" s="3"/>
      <c r="U14" s="3"/>
      <c r="V14" s="3"/>
      <c r="W14" s="3"/>
      <c r="X14" s="3"/>
      <c r="Y14" s="3"/>
      <c r="Z14" s="3"/>
      <c r="AA14" s="3"/>
      <c r="AB14" s="4"/>
    </row>
    <row r="15" spans="1:28" customFormat="1" ht="15.75" x14ac:dyDescent="0.25">
      <c r="A15" s="1">
        <v>13</v>
      </c>
      <c r="B15" s="1511" t="s">
        <v>15</v>
      </c>
      <c r="C15" s="1511"/>
      <c r="D15" s="3"/>
      <c r="E15" s="3"/>
      <c r="F15" s="3"/>
      <c r="G15" s="3"/>
      <c r="H15" s="3"/>
      <c r="I15" s="3"/>
      <c r="J15" s="3"/>
      <c r="K15" s="3"/>
      <c r="L15" s="3"/>
      <c r="M15" s="3"/>
      <c r="N15" s="3"/>
      <c r="O15" s="3"/>
      <c r="P15" s="3"/>
      <c r="Q15" s="3"/>
      <c r="R15" s="3"/>
      <c r="S15" s="3"/>
      <c r="T15" s="3"/>
      <c r="U15" s="3"/>
      <c r="V15" s="3"/>
      <c r="W15" s="3"/>
      <c r="X15" s="3"/>
      <c r="Y15" s="3"/>
      <c r="Z15" s="3"/>
      <c r="AA15" s="3"/>
      <c r="AB15" s="4"/>
    </row>
    <row r="16" spans="1:28" customFormat="1" ht="15.75" x14ac:dyDescent="0.25">
      <c r="A16" s="1">
        <v>14</v>
      </c>
      <c r="B16" s="1511" t="s">
        <v>16</v>
      </c>
      <c r="C16" s="1511"/>
      <c r="D16" s="3"/>
      <c r="E16" s="3"/>
      <c r="F16" s="3"/>
      <c r="G16" s="3"/>
      <c r="H16" s="3"/>
      <c r="I16" s="3"/>
      <c r="J16" s="3"/>
      <c r="K16" s="3"/>
      <c r="L16" s="3"/>
      <c r="M16" s="3"/>
      <c r="N16" s="3"/>
      <c r="O16" s="3"/>
      <c r="P16" s="3"/>
      <c r="Q16" s="3"/>
      <c r="R16" s="3"/>
      <c r="S16" s="3"/>
      <c r="T16" s="3"/>
      <c r="U16" s="3"/>
      <c r="V16" s="3"/>
      <c r="W16" s="3"/>
      <c r="X16" s="3"/>
      <c r="Y16" s="3"/>
      <c r="Z16" s="3"/>
      <c r="AA16" s="3"/>
      <c r="AB16" s="4"/>
    </row>
    <row r="17" spans="1:28" customFormat="1" ht="15.75" x14ac:dyDescent="0.25">
      <c r="A17" s="176">
        <v>15</v>
      </c>
      <c r="B17" s="1511" t="s">
        <v>251</v>
      </c>
      <c r="C17" s="1511"/>
      <c r="D17" s="3"/>
      <c r="E17" s="3"/>
      <c r="F17" s="3"/>
      <c r="G17" s="3"/>
      <c r="H17" s="3"/>
      <c r="I17" s="3"/>
      <c r="J17" s="3"/>
      <c r="K17" s="3"/>
      <c r="L17" s="3"/>
      <c r="M17" s="3"/>
      <c r="N17" s="3"/>
      <c r="O17" s="3"/>
      <c r="P17" s="3"/>
      <c r="Q17" s="3"/>
      <c r="R17" s="3"/>
      <c r="S17" s="3"/>
      <c r="T17" s="3"/>
      <c r="U17" s="3"/>
      <c r="V17" s="3"/>
      <c r="W17" s="3"/>
      <c r="X17" s="3"/>
      <c r="Y17" s="3"/>
      <c r="Z17" s="3"/>
      <c r="AA17" s="3"/>
      <c r="AB17" s="4"/>
    </row>
    <row r="18" spans="1:28" customFormat="1" ht="15.75" x14ac:dyDescent="0.25">
      <c r="A18" s="176">
        <v>16</v>
      </c>
      <c r="B18" s="1511" t="s">
        <v>17</v>
      </c>
      <c r="C18" s="1511"/>
      <c r="D18" s="3"/>
      <c r="E18" s="3"/>
      <c r="F18" s="3"/>
      <c r="G18" s="3"/>
      <c r="H18" s="3"/>
      <c r="I18" s="3"/>
      <c r="J18" s="3"/>
      <c r="K18" s="3"/>
      <c r="L18" s="3"/>
      <c r="M18" s="3"/>
      <c r="N18" s="3"/>
      <c r="O18" s="3"/>
      <c r="P18" s="3"/>
      <c r="Q18" s="3"/>
      <c r="R18" s="3"/>
      <c r="S18" s="3"/>
      <c r="T18" s="3"/>
      <c r="U18" s="3"/>
      <c r="V18" s="3"/>
      <c r="W18" s="3"/>
      <c r="X18" s="3"/>
      <c r="Y18" s="3"/>
      <c r="Z18" s="3"/>
      <c r="AA18" s="3"/>
      <c r="AB18" s="4"/>
    </row>
    <row r="19" spans="1:28" customFormat="1" ht="15.75" customHeight="1" x14ac:dyDescent="0.25">
      <c r="A19" s="176">
        <v>17</v>
      </c>
      <c r="B19" s="1511" t="s">
        <v>18</v>
      </c>
      <c r="C19" s="1511"/>
      <c r="D19" s="3"/>
      <c r="E19" s="3"/>
      <c r="F19" s="3"/>
      <c r="G19" s="3"/>
      <c r="H19" s="3"/>
      <c r="I19" s="3"/>
      <c r="J19" s="3"/>
      <c r="K19" s="3"/>
      <c r="L19" s="3"/>
      <c r="M19" s="3"/>
      <c r="N19" s="3"/>
      <c r="O19" s="3"/>
      <c r="P19" s="3"/>
      <c r="Q19" s="3"/>
      <c r="R19" s="3"/>
      <c r="S19" s="3"/>
      <c r="T19" s="3"/>
      <c r="U19" s="3"/>
      <c r="V19" s="3"/>
      <c r="W19" s="3"/>
      <c r="X19" s="3"/>
      <c r="Y19" s="3"/>
      <c r="Z19" s="3"/>
      <c r="AA19" s="3"/>
      <c r="AB19" s="4"/>
    </row>
    <row r="20" spans="1:28" customFormat="1" ht="15.75" customHeight="1" x14ac:dyDescent="0.25">
      <c r="A20" s="176">
        <v>18</v>
      </c>
      <c r="B20" s="1511" t="s">
        <v>19</v>
      </c>
      <c r="C20" s="1511"/>
      <c r="D20" s="3"/>
      <c r="E20" s="3"/>
      <c r="F20" s="3"/>
      <c r="G20" s="3"/>
      <c r="H20" s="3"/>
      <c r="I20" s="3"/>
      <c r="J20" s="3"/>
      <c r="K20" s="3"/>
      <c r="L20" s="3"/>
      <c r="M20" s="3"/>
      <c r="N20" s="3"/>
      <c r="O20" s="3"/>
      <c r="P20" s="3"/>
      <c r="Q20" s="3"/>
      <c r="R20" s="3"/>
      <c r="S20" s="3"/>
      <c r="T20" s="3"/>
      <c r="U20" s="3"/>
      <c r="V20" s="3"/>
      <c r="W20" s="3"/>
      <c r="X20" s="3"/>
      <c r="Y20" s="3"/>
      <c r="Z20" s="3"/>
      <c r="AA20" s="3"/>
      <c r="AB20" s="4"/>
    </row>
    <row r="21" spans="1:28" customFormat="1" ht="15.75" customHeight="1" x14ac:dyDescent="0.25">
      <c r="A21" s="176">
        <v>19</v>
      </c>
      <c r="B21" s="1531" t="s">
        <v>20</v>
      </c>
      <c r="C21" s="1531"/>
      <c r="D21" s="3"/>
      <c r="E21" s="3"/>
      <c r="F21" s="3"/>
      <c r="G21" s="3"/>
      <c r="H21" s="3"/>
      <c r="I21" s="3"/>
      <c r="J21" s="3"/>
      <c r="K21" s="3"/>
      <c r="L21" s="3"/>
      <c r="M21" s="3"/>
      <c r="N21" s="3"/>
      <c r="O21" s="3"/>
      <c r="P21" s="3"/>
      <c r="Q21" s="3"/>
      <c r="R21" s="3"/>
      <c r="S21" s="3"/>
      <c r="T21" s="3"/>
      <c r="U21" s="3"/>
      <c r="V21" s="3"/>
      <c r="W21" s="3"/>
      <c r="X21" s="3"/>
      <c r="Y21" s="3"/>
      <c r="Z21" s="3"/>
      <c r="AA21" s="3"/>
      <c r="AB21" s="4"/>
    </row>
    <row r="22" spans="1:28" customFormat="1" ht="15.75" x14ac:dyDescent="0.25">
      <c r="A22" s="1"/>
      <c r="B22" s="1511" t="s">
        <v>2</v>
      </c>
      <c r="C22" s="1511"/>
      <c r="D22" s="3"/>
      <c r="E22" s="3"/>
      <c r="F22" s="3"/>
      <c r="G22" s="3"/>
      <c r="H22" s="3"/>
      <c r="I22" s="3"/>
      <c r="J22" s="3"/>
      <c r="K22" s="3"/>
      <c r="L22" s="3"/>
      <c r="M22" s="3"/>
      <c r="N22" s="3"/>
      <c r="O22" s="3"/>
      <c r="P22" s="3"/>
      <c r="Q22" s="3"/>
      <c r="R22" s="3"/>
      <c r="S22" s="3"/>
      <c r="T22" s="3"/>
      <c r="U22" s="3"/>
      <c r="V22" s="3"/>
      <c r="W22" s="3"/>
      <c r="X22" s="3"/>
      <c r="Y22" s="3"/>
      <c r="Z22" s="3"/>
      <c r="AA22" s="3"/>
      <c r="AB22" s="4"/>
    </row>
    <row r="23" spans="1:28" customFormat="1" ht="15.75" x14ac:dyDescent="0.25">
      <c r="A23" s="5">
        <v>20</v>
      </c>
      <c r="B23" s="1511" t="s">
        <v>21</v>
      </c>
      <c r="C23" s="1511"/>
      <c r="D23" s="3"/>
      <c r="E23" s="3"/>
      <c r="F23" s="3"/>
      <c r="G23" s="3"/>
      <c r="H23" s="3"/>
      <c r="I23" s="3"/>
      <c r="J23" s="3"/>
      <c r="K23" s="3"/>
      <c r="L23" s="3"/>
      <c r="M23" s="3"/>
      <c r="N23" s="3"/>
      <c r="O23" s="3"/>
      <c r="P23" s="3"/>
      <c r="Q23" s="3"/>
      <c r="R23" s="3"/>
      <c r="S23" s="3"/>
      <c r="T23" s="3"/>
      <c r="U23" s="3"/>
      <c r="V23" s="3"/>
      <c r="W23" s="3"/>
      <c r="X23" s="3"/>
      <c r="Y23" s="3"/>
      <c r="Z23" s="3"/>
      <c r="AA23" s="3"/>
      <c r="AB23" s="4"/>
    </row>
    <row r="24" spans="1:28" customFormat="1" ht="15.75" x14ac:dyDescent="0.25">
      <c r="A24" s="1"/>
      <c r="B24" s="1511" t="s">
        <v>22</v>
      </c>
      <c r="C24" s="1511"/>
      <c r="D24" s="3"/>
      <c r="E24" s="3"/>
      <c r="F24" s="3"/>
      <c r="G24" s="3"/>
      <c r="H24" s="3"/>
      <c r="I24" s="3"/>
      <c r="J24" s="3"/>
      <c r="K24" s="3"/>
      <c r="L24" s="3"/>
      <c r="M24" s="3"/>
      <c r="N24" s="3"/>
      <c r="O24" s="3"/>
      <c r="P24" s="3"/>
      <c r="Q24" s="3"/>
      <c r="R24" s="3"/>
      <c r="S24" s="3"/>
      <c r="T24" s="3"/>
      <c r="U24" s="3"/>
      <c r="V24" s="3"/>
      <c r="W24" s="3"/>
      <c r="X24" s="3"/>
      <c r="Y24" s="3"/>
      <c r="Z24" s="3"/>
      <c r="AA24" s="3"/>
      <c r="AB24" s="4"/>
    </row>
  </sheetData>
  <mergeCells count="49">
    <mergeCell ref="A1:A2"/>
    <mergeCell ref="B1:C2"/>
    <mergeCell ref="D1:D2"/>
    <mergeCell ref="E1:E2"/>
    <mergeCell ref="F1:F2"/>
    <mergeCell ref="B5:C5"/>
    <mergeCell ref="T1:T2"/>
    <mergeCell ref="U1:U2"/>
    <mergeCell ref="V1:V2"/>
    <mergeCell ref="W1:W2"/>
    <mergeCell ref="N1:N2"/>
    <mergeCell ref="O1:O2"/>
    <mergeCell ref="P1:P2"/>
    <mergeCell ref="Q1:Q2"/>
    <mergeCell ref="R1:R2"/>
    <mergeCell ref="S1:S2"/>
    <mergeCell ref="H1:H2"/>
    <mergeCell ref="I1:I2"/>
    <mergeCell ref="J1:J2"/>
    <mergeCell ref="K1:K2"/>
    <mergeCell ref="L1:L2"/>
    <mergeCell ref="Z1:Z2"/>
    <mergeCell ref="AA1:AA2"/>
    <mergeCell ref="AB1:AB2"/>
    <mergeCell ref="B3:C3"/>
    <mergeCell ref="B4:C4"/>
    <mergeCell ref="X1:X2"/>
    <mergeCell ref="Y1:Y2"/>
    <mergeCell ref="M1:M2"/>
    <mergeCell ref="G1:G2"/>
    <mergeCell ref="B17:C17"/>
    <mergeCell ref="B6:C6"/>
    <mergeCell ref="B7:C7"/>
    <mergeCell ref="B8:C8"/>
    <mergeCell ref="B9:C9"/>
    <mergeCell ref="B10:C10"/>
    <mergeCell ref="B11:C11"/>
    <mergeCell ref="B12:C12"/>
    <mergeCell ref="B13:C13"/>
    <mergeCell ref="B14:C14"/>
    <mergeCell ref="B15:C15"/>
    <mergeCell ref="B16:C16"/>
    <mergeCell ref="B24:C24"/>
    <mergeCell ref="B18:C18"/>
    <mergeCell ref="B19:C19"/>
    <mergeCell ref="B20:C20"/>
    <mergeCell ref="B21:C21"/>
    <mergeCell ref="B22:C22"/>
    <mergeCell ref="B23:C2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H2" sqref="H2"/>
    </sheetView>
  </sheetViews>
  <sheetFormatPr defaultRowHeight="15" x14ac:dyDescent="0.25"/>
  <cols>
    <col min="2" max="2" width="15" customWidth="1"/>
    <col min="3" max="8" width="13.85546875" customWidth="1"/>
  </cols>
  <sheetData>
    <row r="1" spans="1:13" ht="15.75" x14ac:dyDescent="0.25">
      <c r="D1" s="1504" t="s">
        <v>258</v>
      </c>
      <c r="E1" s="1504"/>
      <c r="F1" s="1504" t="s">
        <v>786</v>
      </c>
      <c r="G1" s="1504"/>
      <c r="H1" s="1504"/>
      <c r="I1" t="s">
        <v>250</v>
      </c>
    </row>
    <row r="2" spans="1:13" s="70" customFormat="1" ht="51" x14ac:dyDescent="0.25">
      <c r="A2" s="482" t="s">
        <v>0</v>
      </c>
      <c r="B2" s="1505" t="s">
        <v>1</v>
      </c>
      <c r="C2" s="1597"/>
      <c r="D2" s="482" t="s">
        <v>41</v>
      </c>
      <c r="E2" s="482" t="s">
        <v>191</v>
      </c>
      <c r="F2" s="482" t="s">
        <v>41</v>
      </c>
      <c r="G2" s="180" t="s">
        <v>192</v>
      </c>
      <c r="H2" s="482" t="s">
        <v>951</v>
      </c>
      <c r="I2" s="812" t="s">
        <v>245</v>
      </c>
      <c r="J2" s="812" t="s">
        <v>246</v>
      </c>
      <c r="K2" s="812" t="s">
        <v>247</v>
      </c>
      <c r="L2" s="812" t="s">
        <v>248</v>
      </c>
      <c r="M2" s="812" t="s">
        <v>249</v>
      </c>
    </row>
    <row r="3" spans="1:13" ht="15.75" x14ac:dyDescent="0.25">
      <c r="A3" s="1">
        <v>1</v>
      </c>
      <c r="B3" s="1511" t="s">
        <v>3</v>
      </c>
      <c r="C3" s="1596"/>
      <c r="D3" s="485"/>
      <c r="E3" s="485"/>
      <c r="F3" s="485"/>
      <c r="G3" s="485"/>
      <c r="H3" s="485"/>
      <c r="I3" s="166"/>
      <c r="J3" s="166"/>
      <c r="K3" s="166"/>
      <c r="L3" s="166"/>
      <c r="M3" s="166"/>
    </row>
    <row r="4" spans="1:13" ht="15.75" x14ac:dyDescent="0.25">
      <c r="A4" s="1">
        <v>2</v>
      </c>
      <c r="B4" s="1511" t="s">
        <v>4</v>
      </c>
      <c r="C4" s="1596"/>
      <c r="D4" s="485"/>
      <c r="E4" s="485"/>
      <c r="F4" s="485"/>
      <c r="G4" s="485"/>
      <c r="H4" s="485"/>
      <c r="I4" s="166"/>
      <c r="J4" s="166"/>
      <c r="K4" s="166"/>
      <c r="L4" s="166"/>
      <c r="M4" s="166"/>
    </row>
    <row r="5" spans="1:13" ht="15.75" x14ac:dyDescent="0.25">
      <c r="A5" s="1">
        <v>3</v>
      </c>
      <c r="B5" s="1511" t="s">
        <v>5</v>
      </c>
      <c r="C5" s="1596"/>
      <c r="D5" s="485"/>
      <c r="E5" s="485"/>
      <c r="F5" s="485"/>
      <c r="G5" s="485"/>
      <c r="H5" s="485"/>
      <c r="I5" s="166"/>
      <c r="J5" s="166"/>
      <c r="K5" s="166"/>
      <c r="L5" s="166"/>
      <c r="M5" s="166"/>
    </row>
    <row r="6" spans="1:13" ht="15.75" x14ac:dyDescent="0.25">
      <c r="A6" s="1">
        <v>4</v>
      </c>
      <c r="B6" s="1511" t="s">
        <v>6</v>
      </c>
      <c r="C6" s="1596"/>
      <c r="D6" s="485"/>
      <c r="E6" s="485"/>
      <c r="F6" s="485"/>
      <c r="G6" s="485"/>
      <c r="H6" s="485"/>
      <c r="I6" s="166"/>
      <c r="J6" s="166"/>
      <c r="K6" s="166"/>
      <c r="L6" s="166"/>
      <c r="M6" s="166"/>
    </row>
    <row r="7" spans="1:13" ht="15.75" x14ac:dyDescent="0.25">
      <c r="A7" s="1">
        <v>5</v>
      </c>
      <c r="B7" s="1511" t="s">
        <v>7</v>
      </c>
      <c r="C7" s="1596"/>
      <c r="D7" s="485"/>
      <c r="E7" s="485"/>
      <c r="F7" s="485"/>
      <c r="G7" s="485"/>
      <c r="H7" s="485"/>
      <c r="I7" s="166"/>
      <c r="J7" s="166"/>
      <c r="K7" s="166"/>
      <c r="L7" s="166"/>
      <c r="M7" s="166"/>
    </row>
    <row r="8" spans="1:13" ht="15.75" x14ac:dyDescent="0.25">
      <c r="A8" s="1">
        <v>6</v>
      </c>
      <c r="B8" s="1511" t="s">
        <v>8</v>
      </c>
      <c r="C8" s="1596"/>
      <c r="D8" s="485"/>
      <c r="E8" s="485"/>
      <c r="F8" s="485"/>
      <c r="G8" s="485"/>
      <c r="H8" s="485"/>
      <c r="I8" s="166"/>
      <c r="J8" s="166"/>
      <c r="K8" s="166"/>
      <c r="L8" s="166"/>
      <c r="M8" s="166"/>
    </row>
    <row r="9" spans="1:13" ht="15.75" x14ac:dyDescent="0.25">
      <c r="A9" s="1">
        <v>7</v>
      </c>
      <c r="B9" s="1511" t="s">
        <v>9</v>
      </c>
      <c r="C9" s="1596"/>
      <c r="D9" s="485"/>
      <c r="E9" s="485"/>
      <c r="F9" s="485"/>
      <c r="G9" s="485"/>
      <c r="H9" s="485"/>
      <c r="I9" s="166"/>
      <c r="J9" s="166"/>
      <c r="K9" s="166"/>
      <c r="L9" s="166"/>
      <c r="M9" s="166"/>
    </row>
    <row r="10" spans="1:13" ht="15.75" x14ac:dyDescent="0.25">
      <c r="A10" s="1">
        <v>8</v>
      </c>
      <c r="B10" s="1511" t="s">
        <v>10</v>
      </c>
      <c r="C10" s="1596"/>
      <c r="D10" s="485"/>
      <c r="E10" s="485"/>
      <c r="F10" s="485"/>
      <c r="G10" s="485"/>
      <c r="H10" s="485"/>
      <c r="I10" s="166"/>
      <c r="J10" s="166"/>
      <c r="K10" s="166"/>
      <c r="L10" s="166"/>
      <c r="M10" s="166"/>
    </row>
    <row r="11" spans="1:13" ht="15.75" x14ac:dyDescent="0.25">
      <c r="A11" s="1">
        <v>9</v>
      </c>
      <c r="B11" s="1511" t="s">
        <v>11</v>
      </c>
      <c r="C11" s="1596"/>
      <c r="D11" s="485"/>
      <c r="E11" s="485"/>
      <c r="F11" s="485"/>
      <c r="G11" s="485"/>
      <c r="H11" s="485"/>
      <c r="I11" s="166"/>
      <c r="J11" s="166"/>
      <c r="K11" s="166"/>
      <c r="L11" s="166"/>
      <c r="M11" s="166"/>
    </row>
    <row r="12" spans="1:13" ht="15.75" x14ac:dyDescent="0.25">
      <c r="A12" s="1">
        <v>10</v>
      </c>
      <c r="B12" s="1511" t="s">
        <v>12</v>
      </c>
      <c r="C12" s="1596"/>
      <c r="D12" s="485"/>
      <c r="E12" s="485"/>
      <c r="F12" s="485"/>
      <c r="G12" s="485"/>
      <c r="H12" s="485"/>
      <c r="I12" s="166"/>
      <c r="J12" s="166"/>
      <c r="K12" s="166"/>
      <c r="L12" s="166"/>
      <c r="M12" s="166"/>
    </row>
    <row r="13" spans="1:13" ht="15.75" x14ac:dyDescent="0.25">
      <c r="A13" s="1">
        <v>11</v>
      </c>
      <c r="B13" s="1511" t="s">
        <v>13</v>
      </c>
      <c r="C13" s="1596"/>
      <c r="D13" s="485"/>
      <c r="E13" s="485"/>
      <c r="F13" s="485"/>
      <c r="G13" s="485"/>
      <c r="H13" s="485"/>
      <c r="I13" s="166"/>
      <c r="J13" s="166"/>
      <c r="K13" s="166"/>
      <c r="L13" s="166"/>
      <c r="M13" s="166"/>
    </row>
    <row r="14" spans="1:13" ht="15.75" x14ac:dyDescent="0.25">
      <c r="A14" s="1">
        <v>12</v>
      </c>
      <c r="B14" s="1511" t="s">
        <v>14</v>
      </c>
      <c r="C14" s="1596"/>
      <c r="D14" s="485"/>
      <c r="E14" s="485"/>
      <c r="F14" s="485"/>
      <c r="G14" s="485"/>
      <c r="H14" s="485"/>
      <c r="I14" s="166"/>
      <c r="J14" s="166"/>
      <c r="K14" s="166"/>
      <c r="L14" s="166"/>
      <c r="M14" s="166"/>
    </row>
    <row r="15" spans="1:13" ht="15.75" x14ac:dyDescent="0.25">
      <c r="A15" s="1">
        <v>13</v>
      </c>
      <c r="B15" s="1511" t="s">
        <v>15</v>
      </c>
      <c r="C15" s="1596"/>
      <c r="D15" s="485"/>
      <c r="E15" s="485"/>
      <c r="F15" s="485"/>
      <c r="G15" s="485"/>
      <c r="H15" s="485"/>
      <c r="I15" s="166"/>
      <c r="J15" s="166"/>
      <c r="K15" s="166"/>
      <c r="L15" s="166"/>
      <c r="M15" s="166"/>
    </row>
    <row r="16" spans="1:13" ht="15.75" x14ac:dyDescent="0.25">
      <c r="A16" s="1">
        <v>14</v>
      </c>
      <c r="B16" s="1511" t="s">
        <v>16</v>
      </c>
      <c r="C16" s="1596"/>
      <c r="D16" s="485"/>
      <c r="E16" s="485"/>
      <c r="F16" s="485"/>
      <c r="G16" s="485"/>
      <c r="H16" s="485"/>
      <c r="I16" s="166"/>
      <c r="J16" s="166"/>
      <c r="K16" s="166"/>
      <c r="L16" s="166"/>
      <c r="M16" s="166"/>
    </row>
    <row r="17" spans="1:13" ht="15.75" x14ac:dyDescent="0.25">
      <c r="A17" s="176">
        <v>15</v>
      </c>
      <c r="B17" s="1511" t="s">
        <v>251</v>
      </c>
      <c r="C17" s="1511"/>
      <c r="D17" s="483"/>
      <c r="E17" s="483"/>
      <c r="F17" s="483"/>
      <c r="G17" s="483"/>
      <c r="H17" s="483"/>
      <c r="I17" s="166"/>
      <c r="J17" s="166"/>
      <c r="K17" s="166"/>
      <c r="L17" s="166"/>
      <c r="M17" s="166"/>
    </row>
    <row r="18" spans="1:13" ht="15.75" customHeight="1" x14ac:dyDescent="0.25">
      <c r="A18" s="176">
        <v>16</v>
      </c>
      <c r="B18" s="1511" t="s">
        <v>17</v>
      </c>
      <c r="C18" s="1511"/>
      <c r="D18" s="483"/>
      <c r="E18" s="483"/>
      <c r="F18" s="483"/>
      <c r="G18" s="483"/>
      <c r="H18" s="483"/>
      <c r="I18" s="166"/>
      <c r="J18" s="166"/>
      <c r="K18" s="166"/>
      <c r="L18" s="166"/>
      <c r="M18" s="166"/>
    </row>
    <row r="19" spans="1:13" ht="15.75" customHeight="1" x14ac:dyDescent="0.25">
      <c r="A19" s="176">
        <v>17</v>
      </c>
      <c r="B19" s="1511" t="s">
        <v>18</v>
      </c>
      <c r="C19" s="1511"/>
      <c r="D19" s="483"/>
      <c r="E19" s="483"/>
      <c r="F19" s="483"/>
      <c r="G19" s="483"/>
      <c r="H19" s="483"/>
      <c r="I19" s="166"/>
      <c r="J19" s="166"/>
      <c r="K19" s="166"/>
      <c r="L19" s="166"/>
      <c r="M19" s="166"/>
    </row>
    <row r="20" spans="1:13" ht="15.75" customHeight="1" x14ac:dyDescent="0.25">
      <c r="A20" s="176">
        <v>18</v>
      </c>
      <c r="B20" s="1511" t="s">
        <v>19</v>
      </c>
      <c r="C20" s="1511"/>
      <c r="D20" s="483"/>
      <c r="E20" s="483"/>
      <c r="F20" s="483"/>
      <c r="G20" s="483"/>
      <c r="H20" s="483"/>
      <c r="I20" s="166"/>
      <c r="J20" s="166"/>
      <c r="K20" s="166"/>
      <c r="L20" s="166"/>
      <c r="M20" s="166"/>
    </row>
    <row r="21" spans="1:13" ht="15.75" customHeight="1" x14ac:dyDescent="0.25">
      <c r="A21" s="176">
        <v>19</v>
      </c>
      <c r="B21" s="1531" t="s">
        <v>20</v>
      </c>
      <c r="C21" s="1531"/>
      <c r="D21" s="484"/>
      <c r="E21" s="484"/>
      <c r="F21" s="484"/>
      <c r="G21" s="484"/>
      <c r="H21" s="484"/>
      <c r="I21" s="166"/>
      <c r="J21" s="166"/>
      <c r="K21" s="166"/>
      <c r="L21" s="166"/>
      <c r="M21" s="166"/>
    </row>
    <row r="22" spans="1:13" ht="15.75" x14ac:dyDescent="0.25">
      <c r="A22" s="1"/>
      <c r="B22" s="1511" t="s">
        <v>2</v>
      </c>
      <c r="C22" s="1596"/>
      <c r="D22" s="485"/>
      <c r="E22" s="485"/>
      <c r="F22" s="485"/>
      <c r="G22" s="485"/>
      <c r="H22" s="485"/>
      <c r="I22" s="166"/>
      <c r="J22" s="166"/>
      <c r="K22" s="166"/>
      <c r="L22" s="166"/>
      <c r="M22" s="166"/>
    </row>
    <row r="23" spans="1:13" ht="33.75" customHeight="1" x14ac:dyDescent="0.25">
      <c r="A23" s="5">
        <v>20</v>
      </c>
      <c r="B23" s="1511" t="s">
        <v>21</v>
      </c>
      <c r="C23" s="1596"/>
      <c r="D23" s="485"/>
      <c r="E23" s="485"/>
      <c r="F23" s="485"/>
      <c r="G23" s="485"/>
      <c r="H23" s="485"/>
      <c r="I23" s="166"/>
      <c r="J23" s="166"/>
      <c r="K23" s="166"/>
      <c r="L23" s="166"/>
      <c r="M23" s="166"/>
    </row>
    <row r="24" spans="1:13" ht="15.75" x14ac:dyDescent="0.25">
      <c r="A24" s="1"/>
      <c r="B24" s="1511" t="s">
        <v>22</v>
      </c>
      <c r="C24" s="1596"/>
      <c r="D24" s="485"/>
      <c r="E24" s="485"/>
      <c r="F24" s="485"/>
      <c r="G24" s="485"/>
      <c r="H24" s="485"/>
      <c r="I24" s="166"/>
      <c r="J24" s="166"/>
      <c r="K24" s="166"/>
      <c r="L24" s="166"/>
      <c r="M24" s="166"/>
    </row>
  </sheetData>
  <mergeCells count="25">
    <mergeCell ref="B5:C5"/>
    <mergeCell ref="D1:E1"/>
    <mergeCell ref="F1:H1"/>
    <mergeCell ref="B2:C2"/>
    <mergeCell ref="B3:C3"/>
    <mergeCell ref="B4:C4"/>
    <mergeCell ref="B17:C17"/>
    <mergeCell ref="B6:C6"/>
    <mergeCell ref="B7:C7"/>
    <mergeCell ref="B8:C8"/>
    <mergeCell ref="B9:C9"/>
    <mergeCell ref="B10:C10"/>
    <mergeCell ref="B11:C11"/>
    <mergeCell ref="B12:C12"/>
    <mergeCell ref="B13:C13"/>
    <mergeCell ref="B14:C14"/>
    <mergeCell ref="B15:C15"/>
    <mergeCell ref="B16:C16"/>
    <mergeCell ref="B24:C24"/>
    <mergeCell ref="B18:C18"/>
    <mergeCell ref="B19:C19"/>
    <mergeCell ref="B20:C20"/>
    <mergeCell ref="B21:C21"/>
    <mergeCell ref="B22:C22"/>
    <mergeCell ref="B23:C2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0"/>
  <sheetViews>
    <sheetView topLeftCell="A2" workbookViewId="0">
      <pane xSplit="1" ySplit="3" topLeftCell="B195" activePane="bottomRight" state="frozen"/>
      <selection activeCell="A2" sqref="A2"/>
      <selection pane="topRight" activeCell="B2" sqref="B2"/>
      <selection pane="bottomLeft" activeCell="A5" sqref="A5"/>
      <selection pane="bottomRight" activeCell="D210" sqref="D210"/>
    </sheetView>
  </sheetViews>
  <sheetFormatPr defaultRowHeight="15" x14ac:dyDescent="0.25"/>
  <cols>
    <col min="1" max="1" width="8.28515625" customWidth="1"/>
    <col min="2" max="2" width="12.5703125" customWidth="1"/>
    <col min="3" max="3" width="33.85546875" customWidth="1"/>
    <col min="4" max="4" width="21.42578125" style="791" customWidth="1"/>
    <col min="5" max="5" width="22.42578125" style="791" customWidth="1"/>
    <col min="6" max="6" width="22.42578125" customWidth="1"/>
    <col min="7" max="7" width="11.7109375" customWidth="1"/>
    <col min="8" max="8" width="15.140625" customWidth="1"/>
    <col min="9" max="9" width="14.85546875" customWidth="1"/>
  </cols>
  <sheetData>
    <row r="1" spans="1:9" x14ac:dyDescent="0.25">
      <c r="A1" t="s">
        <v>606</v>
      </c>
    </row>
    <row r="2" spans="1:9" x14ac:dyDescent="0.25">
      <c r="A2" t="s">
        <v>897</v>
      </c>
    </row>
    <row r="3" spans="1:9" ht="15.75" x14ac:dyDescent="0.25">
      <c r="A3" s="225"/>
      <c r="B3" s="225" t="s">
        <v>266</v>
      </c>
      <c r="C3" s="225"/>
      <c r="D3" s="792"/>
      <c r="E3" s="792"/>
      <c r="F3" s="225"/>
      <c r="G3" s="225"/>
      <c r="H3" s="225"/>
    </row>
    <row r="4" spans="1:9" ht="31.5" x14ac:dyDescent="0.25">
      <c r="A4" s="237" t="s">
        <v>267</v>
      </c>
      <c r="B4" s="225" t="s">
        <v>268</v>
      </c>
      <c r="C4" s="225" t="s">
        <v>269</v>
      </c>
      <c r="D4" s="2020" t="s">
        <v>270</v>
      </c>
      <c r="E4" s="2020"/>
      <c r="F4" s="227"/>
      <c r="G4" s="2021" t="s">
        <v>271</v>
      </c>
      <c r="H4" s="2021"/>
    </row>
    <row r="5" spans="1:9" ht="15.75" x14ac:dyDescent="0.25">
      <c r="A5" s="225"/>
      <c r="B5" s="225"/>
      <c r="C5" s="225"/>
      <c r="D5" s="792" t="s">
        <v>159</v>
      </c>
      <c r="E5" s="792" t="s">
        <v>869</v>
      </c>
      <c r="F5" s="225" t="s">
        <v>870</v>
      </c>
      <c r="G5" s="225" t="s">
        <v>159</v>
      </c>
      <c r="H5" s="225" t="s">
        <v>272</v>
      </c>
      <c r="I5" s="225" t="s">
        <v>46</v>
      </c>
    </row>
    <row r="6" spans="1:9" ht="15.75" x14ac:dyDescent="0.25">
      <c r="A6" s="226" t="s">
        <v>273</v>
      </c>
      <c r="B6" s="226" t="s">
        <v>274</v>
      </c>
      <c r="C6" s="225" t="s">
        <v>275</v>
      </c>
      <c r="D6" s="792">
        <v>500000</v>
      </c>
      <c r="E6" s="792">
        <v>100000</v>
      </c>
      <c r="F6" s="225"/>
      <c r="G6" s="225">
        <f>D6</f>
        <v>500000</v>
      </c>
      <c r="H6" s="225">
        <f>E6</f>
        <v>100000</v>
      </c>
      <c r="I6" s="225">
        <f>F6</f>
        <v>0</v>
      </c>
    </row>
    <row r="7" spans="1:9" ht="15.75" x14ac:dyDescent="0.25">
      <c r="A7" s="226"/>
      <c r="B7" s="226"/>
      <c r="C7" s="225" t="s">
        <v>276</v>
      </c>
      <c r="D7" s="792">
        <v>500000</v>
      </c>
      <c r="E7" s="792">
        <v>100000</v>
      </c>
      <c r="F7" s="225"/>
      <c r="G7" s="225">
        <f t="shared" ref="G7:G20" si="0">D7</f>
        <v>500000</v>
      </c>
      <c r="H7" s="225">
        <f t="shared" ref="H7:H20" si="1">E7</f>
        <v>100000</v>
      </c>
      <c r="I7" s="225">
        <f t="shared" ref="I7:I20" si="2">F7</f>
        <v>0</v>
      </c>
    </row>
    <row r="8" spans="1:9" ht="15.75" x14ac:dyDescent="0.25">
      <c r="A8" s="226"/>
      <c r="B8" s="226"/>
      <c r="C8" s="225" t="s">
        <v>277</v>
      </c>
      <c r="D8" s="792">
        <v>100000</v>
      </c>
      <c r="E8" s="792">
        <v>50000</v>
      </c>
      <c r="F8" s="225"/>
      <c r="G8" s="225">
        <f t="shared" si="0"/>
        <v>100000</v>
      </c>
      <c r="H8" s="225">
        <f t="shared" si="1"/>
        <v>50000</v>
      </c>
      <c r="I8" s="225">
        <f t="shared" si="2"/>
        <v>0</v>
      </c>
    </row>
    <row r="9" spans="1:9" ht="15.75" x14ac:dyDescent="0.25">
      <c r="A9" s="226"/>
      <c r="B9" s="226"/>
      <c r="C9" s="225" t="s">
        <v>278</v>
      </c>
      <c r="D9" s="792">
        <v>5000000</v>
      </c>
      <c r="E9" s="792">
        <v>125000</v>
      </c>
      <c r="F9" s="2022" t="s">
        <v>871</v>
      </c>
      <c r="G9" s="225">
        <f t="shared" si="0"/>
        <v>5000000</v>
      </c>
      <c r="H9" s="225">
        <f t="shared" si="1"/>
        <v>125000</v>
      </c>
      <c r="I9" s="225">
        <v>0</v>
      </c>
    </row>
    <row r="10" spans="1:9" ht="15.75" x14ac:dyDescent="0.25">
      <c r="A10" s="226"/>
      <c r="B10" s="226"/>
      <c r="C10" s="225" t="s">
        <v>279</v>
      </c>
      <c r="D10" s="792">
        <v>1000000</v>
      </c>
      <c r="E10" s="792">
        <v>100000</v>
      </c>
      <c r="F10" s="2022"/>
      <c r="G10" s="225">
        <f t="shared" si="0"/>
        <v>1000000</v>
      </c>
      <c r="H10" s="225">
        <f t="shared" si="1"/>
        <v>100000</v>
      </c>
      <c r="I10" s="225">
        <f t="shared" si="2"/>
        <v>0</v>
      </c>
    </row>
    <row r="11" spans="1:9" ht="15.75" x14ac:dyDescent="0.25">
      <c r="A11" s="226"/>
      <c r="B11" s="226"/>
      <c r="C11" s="225" t="s">
        <v>280</v>
      </c>
      <c r="D11" s="792">
        <v>400000</v>
      </c>
      <c r="E11" s="792">
        <v>150000</v>
      </c>
      <c r="F11" s="2022"/>
      <c r="G11" s="225">
        <f t="shared" si="0"/>
        <v>400000</v>
      </c>
      <c r="H11" s="225">
        <f t="shared" si="1"/>
        <v>150000</v>
      </c>
      <c r="I11" s="225">
        <f t="shared" si="2"/>
        <v>0</v>
      </c>
    </row>
    <row r="12" spans="1:9" ht="15.75" x14ac:dyDescent="0.25">
      <c r="A12" s="226"/>
      <c r="B12" s="226"/>
      <c r="C12" s="225" t="s">
        <v>281</v>
      </c>
      <c r="D12" s="792">
        <v>2000000</v>
      </c>
      <c r="E12" s="792">
        <v>100000</v>
      </c>
      <c r="F12" s="225"/>
      <c r="G12" s="225">
        <f t="shared" si="0"/>
        <v>2000000</v>
      </c>
      <c r="H12" s="225">
        <f t="shared" si="1"/>
        <v>100000</v>
      </c>
      <c r="I12" s="225">
        <f t="shared" si="2"/>
        <v>0</v>
      </c>
    </row>
    <row r="13" spans="1:9" ht="15.75" x14ac:dyDescent="0.25">
      <c r="A13" s="226"/>
      <c r="B13" s="226"/>
      <c r="C13" s="225" t="s">
        <v>282</v>
      </c>
      <c r="D13" s="792">
        <v>1000000</v>
      </c>
      <c r="E13" s="792">
        <v>100000</v>
      </c>
      <c r="F13" s="225"/>
      <c r="G13" s="225">
        <f t="shared" si="0"/>
        <v>1000000</v>
      </c>
      <c r="H13" s="225">
        <f t="shared" si="1"/>
        <v>100000</v>
      </c>
      <c r="I13" s="225">
        <f t="shared" si="2"/>
        <v>0</v>
      </c>
    </row>
    <row r="14" spans="1:9" ht="15.75" x14ac:dyDescent="0.25">
      <c r="A14" s="226"/>
      <c r="B14" s="226"/>
      <c r="C14" s="225" t="s">
        <v>119</v>
      </c>
      <c r="D14" s="792">
        <v>1500000</v>
      </c>
      <c r="E14" s="792">
        <v>150000</v>
      </c>
      <c r="F14" s="225"/>
      <c r="G14" s="225">
        <f t="shared" si="0"/>
        <v>1500000</v>
      </c>
      <c r="H14" s="225">
        <f t="shared" si="1"/>
        <v>150000</v>
      </c>
      <c r="I14" s="225">
        <f t="shared" si="2"/>
        <v>0</v>
      </c>
    </row>
    <row r="15" spans="1:9" ht="15.75" x14ac:dyDescent="0.25">
      <c r="A15" s="226"/>
      <c r="B15" s="226"/>
      <c r="C15" s="225" t="s">
        <v>283</v>
      </c>
      <c r="D15" s="792">
        <v>2500000</v>
      </c>
      <c r="E15" s="792">
        <v>50000</v>
      </c>
      <c r="F15" s="225"/>
      <c r="G15" s="225">
        <f t="shared" si="0"/>
        <v>2500000</v>
      </c>
      <c r="H15" s="225">
        <f t="shared" si="1"/>
        <v>50000</v>
      </c>
      <c r="I15" s="225">
        <f t="shared" si="2"/>
        <v>0</v>
      </c>
    </row>
    <row r="16" spans="1:9" ht="15.75" x14ac:dyDescent="0.25">
      <c r="A16" s="226"/>
      <c r="B16" s="226"/>
      <c r="C16" s="227" t="s">
        <v>284</v>
      </c>
      <c r="D16" s="792">
        <v>1000000</v>
      </c>
      <c r="E16" s="792">
        <v>50000</v>
      </c>
      <c r="F16" s="225"/>
      <c r="G16" s="225">
        <f t="shared" si="0"/>
        <v>1000000</v>
      </c>
      <c r="H16" s="225">
        <f t="shared" si="1"/>
        <v>50000</v>
      </c>
      <c r="I16" s="225">
        <f t="shared" si="2"/>
        <v>0</v>
      </c>
    </row>
    <row r="17" spans="1:9" ht="15.75" x14ac:dyDescent="0.25">
      <c r="A17" s="226"/>
      <c r="B17" s="226"/>
      <c r="C17" s="225" t="s">
        <v>285</v>
      </c>
      <c r="D17" s="792">
        <v>100000</v>
      </c>
      <c r="E17" s="792">
        <v>10000</v>
      </c>
      <c r="F17" s="225"/>
      <c r="G17" s="225">
        <f t="shared" si="0"/>
        <v>100000</v>
      </c>
      <c r="H17" s="225">
        <f t="shared" si="1"/>
        <v>10000</v>
      </c>
      <c r="I17" s="225">
        <f t="shared" si="2"/>
        <v>0</v>
      </c>
    </row>
    <row r="18" spans="1:9" ht="15.75" x14ac:dyDescent="0.25">
      <c r="A18" s="226"/>
      <c r="B18" s="226"/>
      <c r="C18" s="225" t="s">
        <v>118</v>
      </c>
      <c r="D18" s="792">
        <v>60000</v>
      </c>
      <c r="E18" s="792">
        <v>5000</v>
      </c>
      <c r="F18" s="225"/>
      <c r="G18" s="225">
        <f t="shared" si="0"/>
        <v>60000</v>
      </c>
      <c r="H18" s="225">
        <f t="shared" si="1"/>
        <v>5000</v>
      </c>
      <c r="I18" s="225">
        <f t="shared" si="2"/>
        <v>0</v>
      </c>
    </row>
    <row r="19" spans="1:9" ht="47.25" x14ac:dyDescent="0.25">
      <c r="A19" s="226"/>
      <c r="B19" s="226"/>
      <c r="C19" s="225" t="s">
        <v>286</v>
      </c>
      <c r="D19" s="793" t="s">
        <v>287</v>
      </c>
      <c r="E19" s="792">
        <v>5000</v>
      </c>
      <c r="F19" s="225"/>
      <c r="G19" s="486" t="str">
        <f t="shared" si="0"/>
        <v>50000( in adition to 60000)</v>
      </c>
      <c r="H19" s="225">
        <f t="shared" si="1"/>
        <v>5000</v>
      </c>
      <c r="I19" s="225">
        <f t="shared" si="2"/>
        <v>0</v>
      </c>
    </row>
    <row r="20" spans="1:9" ht="15.75" x14ac:dyDescent="0.25">
      <c r="A20" s="226"/>
      <c r="B20" s="226"/>
      <c r="C20" s="225"/>
      <c r="D20" s="792"/>
      <c r="E20" s="792"/>
      <c r="F20" s="225"/>
      <c r="G20" s="225">
        <f t="shared" si="0"/>
        <v>0</v>
      </c>
      <c r="H20" s="225">
        <f t="shared" si="1"/>
        <v>0</v>
      </c>
      <c r="I20" s="225">
        <f t="shared" si="2"/>
        <v>0</v>
      </c>
    </row>
    <row r="21" spans="1:9" ht="15.75" x14ac:dyDescent="0.25">
      <c r="A21" s="226"/>
      <c r="B21" s="226"/>
      <c r="C21" s="225"/>
      <c r="D21" s="792" t="s">
        <v>288</v>
      </c>
      <c r="E21" s="792" t="s">
        <v>289</v>
      </c>
      <c r="F21" s="225"/>
      <c r="G21" s="225"/>
      <c r="H21" s="225"/>
    </row>
    <row r="22" spans="1:9" ht="15.75" x14ac:dyDescent="0.25">
      <c r="A22" s="226" t="s">
        <v>290</v>
      </c>
      <c r="B22" s="226" t="s">
        <v>291</v>
      </c>
      <c r="C22" s="225" t="s">
        <v>292</v>
      </c>
      <c r="D22" s="792">
        <v>30000</v>
      </c>
      <c r="E22" s="792" t="s">
        <v>293</v>
      </c>
      <c r="F22" s="225"/>
      <c r="G22" s="225"/>
      <c r="H22" s="225"/>
    </row>
    <row r="23" spans="1:9" ht="15.75" x14ac:dyDescent="0.25">
      <c r="A23" s="226"/>
      <c r="B23" s="226"/>
      <c r="C23" s="225" t="s">
        <v>294</v>
      </c>
      <c r="D23" s="792">
        <v>300000</v>
      </c>
      <c r="E23" s="792" t="s">
        <v>293</v>
      </c>
      <c r="F23" s="225"/>
      <c r="G23" s="225"/>
      <c r="H23" s="225"/>
    </row>
    <row r="24" spans="1:9" ht="47.25" x14ac:dyDescent="0.25">
      <c r="A24" s="226"/>
      <c r="B24" s="226"/>
      <c r="C24" s="225" t="s">
        <v>295</v>
      </c>
      <c r="D24" s="792">
        <v>750</v>
      </c>
      <c r="E24" s="793" t="s">
        <v>787</v>
      </c>
      <c r="F24" s="225"/>
      <c r="G24" s="225"/>
      <c r="H24" s="225"/>
    </row>
    <row r="25" spans="1:9" ht="15.75" x14ac:dyDescent="0.25">
      <c r="A25" s="226"/>
      <c r="B25" s="226"/>
      <c r="C25" s="225"/>
      <c r="D25" s="792"/>
      <c r="E25" s="792"/>
      <c r="F25" s="225"/>
      <c r="G25" s="225"/>
      <c r="H25" s="225"/>
    </row>
    <row r="26" spans="1:9" ht="15.75" x14ac:dyDescent="0.25">
      <c r="A26" s="226" t="s">
        <v>296</v>
      </c>
      <c r="B26" s="226" t="s">
        <v>297</v>
      </c>
      <c r="C26" s="225" t="s">
        <v>298</v>
      </c>
      <c r="D26" s="792">
        <v>1000</v>
      </c>
      <c r="E26" s="792" t="s">
        <v>299</v>
      </c>
      <c r="F26" s="225"/>
      <c r="G26" s="225"/>
      <c r="H26" s="225"/>
    </row>
    <row r="27" spans="1:9" ht="15.75" x14ac:dyDescent="0.25">
      <c r="A27" s="226"/>
      <c r="B27" s="226"/>
      <c r="C27" s="225" t="s">
        <v>300</v>
      </c>
      <c r="D27" s="792">
        <v>1500</v>
      </c>
      <c r="E27" s="792" t="s">
        <v>299</v>
      </c>
      <c r="F27" s="225"/>
      <c r="G27" s="225"/>
      <c r="H27" s="225"/>
    </row>
    <row r="28" spans="1:9" ht="15.75" x14ac:dyDescent="0.25">
      <c r="A28" s="226"/>
      <c r="B28" s="226"/>
      <c r="C28" s="225" t="s">
        <v>301</v>
      </c>
      <c r="D28" s="792">
        <v>5000</v>
      </c>
      <c r="E28" s="792" t="s">
        <v>299</v>
      </c>
      <c r="F28" s="225"/>
      <c r="G28" s="225"/>
      <c r="H28" s="225"/>
    </row>
    <row r="29" spans="1:9" ht="15.75" x14ac:dyDescent="0.25">
      <c r="A29" s="226"/>
      <c r="B29" s="226"/>
      <c r="C29" s="225" t="s">
        <v>302</v>
      </c>
      <c r="D29" s="792">
        <v>5000</v>
      </c>
      <c r="E29" s="792" t="s">
        <v>299</v>
      </c>
      <c r="F29" s="225"/>
      <c r="G29" s="225"/>
      <c r="H29" s="225"/>
    </row>
    <row r="30" spans="1:9" ht="31.5" x14ac:dyDescent="0.25">
      <c r="A30" s="226"/>
      <c r="B30" s="226"/>
      <c r="C30" s="798" t="s">
        <v>894</v>
      </c>
      <c r="D30" s="792">
        <v>25</v>
      </c>
      <c r="E30" s="797" t="s">
        <v>895</v>
      </c>
      <c r="F30" s="225"/>
      <c r="G30" s="225"/>
      <c r="H30" s="225"/>
    </row>
    <row r="31" spans="1:9" ht="15.75" x14ac:dyDescent="0.25">
      <c r="A31" s="226"/>
      <c r="B31" s="226"/>
      <c r="C31" s="225"/>
      <c r="D31" s="792"/>
      <c r="E31" s="792"/>
      <c r="F31" s="225"/>
      <c r="G31" s="225"/>
      <c r="H31" s="225"/>
    </row>
    <row r="32" spans="1:9" ht="15.75" x14ac:dyDescent="0.25">
      <c r="A32" s="226"/>
      <c r="B32" s="226"/>
      <c r="C32" s="225"/>
      <c r="D32" s="792"/>
      <c r="E32" s="792"/>
      <c r="F32" s="225"/>
      <c r="G32" s="225"/>
      <c r="H32" s="225"/>
    </row>
    <row r="33" spans="1:8" ht="15.75" x14ac:dyDescent="0.25">
      <c r="A33" s="226" t="s">
        <v>303</v>
      </c>
      <c r="B33" s="226" t="s">
        <v>6</v>
      </c>
      <c r="C33" s="225" t="s">
        <v>304</v>
      </c>
      <c r="D33" s="792">
        <v>300000</v>
      </c>
      <c r="E33" s="792" t="s">
        <v>305</v>
      </c>
      <c r="F33" s="225"/>
      <c r="G33" s="225"/>
      <c r="H33" s="225"/>
    </row>
    <row r="34" spans="1:8" ht="15.75" x14ac:dyDescent="0.25">
      <c r="A34" s="226"/>
      <c r="B34" s="226"/>
      <c r="C34" s="225" t="s">
        <v>306</v>
      </c>
      <c r="D34" s="792"/>
      <c r="E34" s="792"/>
      <c r="F34" s="225"/>
      <c r="G34" s="225"/>
      <c r="H34" s="225"/>
    </row>
    <row r="35" spans="1:8" ht="15.75" x14ac:dyDescent="0.25">
      <c r="A35" s="226"/>
      <c r="B35" s="226"/>
      <c r="C35" s="225" t="s">
        <v>307</v>
      </c>
      <c r="D35" s="792">
        <v>2000000</v>
      </c>
      <c r="E35" s="792" t="s">
        <v>293</v>
      </c>
      <c r="F35" s="225"/>
      <c r="G35" s="225"/>
      <c r="H35" s="225"/>
    </row>
    <row r="36" spans="1:8" ht="15.75" x14ac:dyDescent="0.25">
      <c r="A36" s="226"/>
      <c r="B36" s="226"/>
      <c r="C36" s="225" t="s">
        <v>308</v>
      </c>
      <c r="D36" s="792">
        <v>1400000</v>
      </c>
      <c r="E36" s="792" t="s">
        <v>293</v>
      </c>
      <c r="F36" s="225"/>
      <c r="G36" s="225"/>
      <c r="H36" s="225"/>
    </row>
    <row r="37" spans="1:8" ht="15.75" x14ac:dyDescent="0.25">
      <c r="A37" s="226"/>
      <c r="B37" s="226"/>
      <c r="C37" s="225" t="s">
        <v>309</v>
      </c>
      <c r="D37" s="792">
        <v>1000000</v>
      </c>
      <c r="E37" s="792" t="s">
        <v>293</v>
      </c>
      <c r="F37" s="225"/>
      <c r="G37" s="225"/>
      <c r="H37" s="225"/>
    </row>
    <row r="38" spans="1:8" ht="15.75" x14ac:dyDescent="0.25">
      <c r="A38" s="226"/>
      <c r="B38" s="226"/>
      <c r="C38" s="225" t="s">
        <v>310</v>
      </c>
      <c r="D38" s="792">
        <v>40000</v>
      </c>
      <c r="E38" s="792" t="s">
        <v>293</v>
      </c>
      <c r="F38" s="225"/>
      <c r="G38" s="225"/>
      <c r="H38" s="225"/>
    </row>
    <row r="39" spans="1:8" ht="15.75" x14ac:dyDescent="0.25">
      <c r="A39" s="226"/>
      <c r="B39" s="226"/>
      <c r="C39" s="225"/>
      <c r="D39" s="792"/>
      <c r="E39" s="792"/>
      <c r="F39" s="225"/>
      <c r="G39" s="225"/>
      <c r="H39" s="225"/>
    </row>
    <row r="40" spans="1:8" ht="15.75" x14ac:dyDescent="0.25">
      <c r="A40" s="226"/>
      <c r="B40" s="226"/>
      <c r="C40" s="225" t="s">
        <v>311</v>
      </c>
      <c r="D40" s="792">
        <v>188000</v>
      </c>
      <c r="E40" s="792" t="s">
        <v>293</v>
      </c>
      <c r="F40" s="225"/>
      <c r="G40" s="225"/>
      <c r="H40" s="225"/>
    </row>
    <row r="41" spans="1:8" ht="15.75" x14ac:dyDescent="0.25">
      <c r="A41" s="226"/>
      <c r="B41" s="226"/>
      <c r="C41" s="225" t="s">
        <v>312</v>
      </c>
      <c r="D41" s="792">
        <v>233000</v>
      </c>
      <c r="E41" s="792" t="s">
        <v>293</v>
      </c>
      <c r="F41" s="225"/>
      <c r="G41" s="225"/>
      <c r="H41" s="225"/>
    </row>
    <row r="42" spans="1:8" ht="15.75" x14ac:dyDescent="0.25">
      <c r="A42" s="226"/>
      <c r="B42" s="226"/>
      <c r="C42" s="225" t="s">
        <v>313</v>
      </c>
      <c r="D42" s="792">
        <v>338000</v>
      </c>
      <c r="E42" s="792" t="s">
        <v>293</v>
      </c>
      <c r="F42" s="225"/>
      <c r="G42" s="225"/>
      <c r="H42" s="225"/>
    </row>
    <row r="43" spans="1:8" ht="15.75" x14ac:dyDescent="0.25">
      <c r="A43" s="226"/>
      <c r="B43" s="226"/>
      <c r="C43" s="225"/>
      <c r="D43" s="792"/>
      <c r="E43" s="792"/>
      <c r="F43" s="225"/>
      <c r="G43" s="225"/>
      <c r="H43" s="225"/>
    </row>
    <row r="44" spans="1:8" ht="15.75" x14ac:dyDescent="0.25">
      <c r="A44" s="226"/>
      <c r="B44" s="226"/>
      <c r="C44" s="225"/>
      <c r="D44" s="792"/>
      <c r="E44" s="792"/>
      <c r="F44" s="225"/>
      <c r="G44" s="225"/>
      <c r="H44" s="225"/>
    </row>
    <row r="45" spans="1:8" ht="15.75" x14ac:dyDescent="0.25">
      <c r="A45" s="226"/>
      <c r="B45" s="226"/>
      <c r="C45" s="225"/>
      <c r="D45" s="792"/>
      <c r="E45" s="792"/>
      <c r="F45" s="225"/>
      <c r="G45" s="225"/>
      <c r="H45" s="225"/>
    </row>
    <row r="46" spans="1:8" ht="15.75" x14ac:dyDescent="0.25">
      <c r="A46" s="226" t="s">
        <v>314</v>
      </c>
      <c r="B46" s="226" t="s">
        <v>315</v>
      </c>
      <c r="C46" s="225" t="s">
        <v>316</v>
      </c>
      <c r="D46" s="792">
        <v>1000</v>
      </c>
      <c r="E46" s="792" t="s">
        <v>317</v>
      </c>
      <c r="F46" s="225"/>
      <c r="G46" s="225"/>
      <c r="H46" s="225"/>
    </row>
    <row r="47" spans="1:8" ht="15.75" x14ac:dyDescent="0.25">
      <c r="A47" s="226"/>
      <c r="B47" s="226"/>
      <c r="C47" s="225" t="s">
        <v>318</v>
      </c>
      <c r="D47" s="792">
        <v>45000</v>
      </c>
      <c r="E47" s="792" t="s">
        <v>319</v>
      </c>
      <c r="F47" s="225"/>
      <c r="G47" s="225"/>
      <c r="H47" s="225"/>
    </row>
    <row r="48" spans="1:8" ht="15.75" x14ac:dyDescent="0.25">
      <c r="A48" s="226"/>
      <c r="B48" s="226"/>
      <c r="C48" s="225" t="s">
        <v>320</v>
      </c>
      <c r="D48" s="792">
        <v>2000</v>
      </c>
      <c r="E48" s="792" t="s">
        <v>317</v>
      </c>
      <c r="F48" s="225"/>
      <c r="G48" s="225"/>
      <c r="H48" s="225"/>
    </row>
    <row r="49" spans="1:8" ht="15.75" x14ac:dyDescent="0.25">
      <c r="A49" s="226"/>
      <c r="B49" s="226"/>
      <c r="C49" s="225" t="s">
        <v>321</v>
      </c>
      <c r="D49" s="792">
        <v>5000</v>
      </c>
      <c r="E49" s="792" t="s">
        <v>317</v>
      </c>
      <c r="F49" s="225"/>
      <c r="G49" s="225"/>
      <c r="H49" s="225"/>
    </row>
    <row r="50" spans="1:8" ht="15.75" x14ac:dyDescent="0.25">
      <c r="A50" s="226"/>
      <c r="B50" s="226"/>
      <c r="C50" s="225" t="s">
        <v>322</v>
      </c>
      <c r="D50" s="792">
        <v>92000</v>
      </c>
      <c r="E50" s="792" t="s">
        <v>317</v>
      </c>
      <c r="F50" s="225"/>
      <c r="G50" s="225"/>
      <c r="H50" s="225"/>
    </row>
    <row r="51" spans="1:8" ht="15.75" x14ac:dyDescent="0.25">
      <c r="A51" s="226"/>
      <c r="B51" s="226"/>
      <c r="C51" s="225" t="s">
        <v>323</v>
      </c>
      <c r="D51" s="792">
        <v>681000</v>
      </c>
      <c r="E51" s="792" t="s">
        <v>324</v>
      </c>
      <c r="F51" s="225"/>
      <c r="G51" s="225"/>
      <c r="H51" s="225"/>
    </row>
    <row r="52" spans="1:8" ht="15.75" x14ac:dyDescent="0.25">
      <c r="A52" s="226"/>
      <c r="B52" s="226"/>
      <c r="C52" s="225" t="s">
        <v>325</v>
      </c>
      <c r="D52" s="792">
        <v>3000</v>
      </c>
      <c r="E52" s="792" t="s">
        <v>317</v>
      </c>
      <c r="F52" s="225"/>
      <c r="G52" s="225"/>
      <c r="H52" s="225"/>
    </row>
    <row r="53" spans="1:8" ht="15.75" x14ac:dyDescent="0.25">
      <c r="A53" s="226"/>
      <c r="B53" s="226"/>
      <c r="C53" s="225" t="s">
        <v>326</v>
      </c>
      <c r="D53" s="792">
        <v>10000</v>
      </c>
      <c r="E53" s="792" t="s">
        <v>317</v>
      </c>
      <c r="F53" s="225"/>
      <c r="G53" s="225"/>
      <c r="H53" s="225"/>
    </row>
    <row r="54" spans="1:8" ht="15.75" x14ac:dyDescent="0.25">
      <c r="A54" s="226"/>
      <c r="B54" s="226"/>
      <c r="C54" s="225" t="s">
        <v>327</v>
      </c>
      <c r="D54" s="792" t="s">
        <v>328</v>
      </c>
      <c r="E54" s="792" t="s">
        <v>317</v>
      </c>
      <c r="F54" s="225"/>
      <c r="G54" s="225"/>
      <c r="H54" s="225"/>
    </row>
    <row r="55" spans="1:8" ht="15.75" x14ac:dyDescent="0.25">
      <c r="A55" s="226"/>
      <c r="B55" s="226"/>
      <c r="C55" s="225"/>
      <c r="D55" s="792"/>
      <c r="E55" s="792"/>
      <c r="F55" s="225"/>
      <c r="G55" s="225"/>
      <c r="H55" s="225"/>
    </row>
    <row r="56" spans="1:8" ht="15.75" x14ac:dyDescent="0.25">
      <c r="A56" s="226"/>
      <c r="B56" s="226"/>
      <c r="C56" s="225"/>
      <c r="D56" s="792"/>
      <c r="E56" s="792"/>
      <c r="F56" s="225"/>
      <c r="G56" s="225"/>
      <c r="H56" s="225"/>
    </row>
    <row r="57" spans="1:8" ht="15.75" x14ac:dyDescent="0.25">
      <c r="A57" s="226" t="s">
        <v>329</v>
      </c>
      <c r="B57" s="226" t="s">
        <v>8</v>
      </c>
      <c r="C57" s="225" t="s">
        <v>330</v>
      </c>
      <c r="D57" s="792"/>
      <c r="E57" s="792" t="s">
        <v>331</v>
      </c>
      <c r="F57" s="225"/>
      <c r="G57" s="225"/>
      <c r="H57" s="225"/>
    </row>
    <row r="58" spans="1:8" ht="15.75" x14ac:dyDescent="0.25">
      <c r="A58" s="226"/>
      <c r="B58" s="226"/>
      <c r="C58" s="225" t="s">
        <v>332</v>
      </c>
      <c r="D58" s="792"/>
      <c r="E58" s="792"/>
      <c r="F58" s="225"/>
      <c r="G58" s="225"/>
      <c r="H58" s="225"/>
    </row>
    <row r="59" spans="1:8" ht="15.75" x14ac:dyDescent="0.25">
      <c r="A59" s="226"/>
      <c r="B59" s="226"/>
      <c r="C59" s="225" t="s">
        <v>292</v>
      </c>
      <c r="D59" s="792">
        <v>21000</v>
      </c>
      <c r="E59" s="792" t="s">
        <v>293</v>
      </c>
      <c r="F59" s="225"/>
      <c r="G59" s="225"/>
      <c r="H59" s="225"/>
    </row>
    <row r="60" spans="1:8" ht="15.75" x14ac:dyDescent="0.25">
      <c r="A60" s="226"/>
      <c r="B60" s="226"/>
      <c r="C60" s="225" t="s">
        <v>201</v>
      </c>
      <c r="D60" s="792">
        <v>216000</v>
      </c>
      <c r="E60" s="792" t="s">
        <v>293</v>
      </c>
      <c r="F60" s="225"/>
      <c r="G60" s="225"/>
      <c r="H60" s="225"/>
    </row>
    <row r="61" spans="1:8" ht="15.75" x14ac:dyDescent="0.25">
      <c r="A61" s="226"/>
      <c r="B61" s="226"/>
      <c r="C61" s="225"/>
      <c r="D61" s="792"/>
      <c r="E61" s="792"/>
      <c r="F61" s="225"/>
      <c r="G61" s="225"/>
      <c r="H61" s="225"/>
    </row>
    <row r="62" spans="1:8" ht="15.75" x14ac:dyDescent="0.25">
      <c r="A62" s="226"/>
      <c r="B62" s="226"/>
      <c r="C62" s="225"/>
      <c r="D62" s="792"/>
      <c r="E62" s="792"/>
      <c r="F62" s="225"/>
      <c r="G62" s="225"/>
      <c r="H62" s="225"/>
    </row>
    <row r="63" spans="1:8" ht="15.75" x14ac:dyDescent="0.25">
      <c r="A63" s="226" t="s">
        <v>333</v>
      </c>
      <c r="B63" s="226" t="s">
        <v>334</v>
      </c>
      <c r="C63" s="225" t="s">
        <v>335</v>
      </c>
      <c r="D63" s="792">
        <v>45000</v>
      </c>
      <c r="E63" s="792" t="s">
        <v>336</v>
      </c>
      <c r="F63" s="225"/>
      <c r="G63" s="225"/>
      <c r="H63" s="225"/>
    </row>
    <row r="64" spans="1:8" ht="15.75" x14ac:dyDescent="0.25">
      <c r="A64" s="226"/>
      <c r="B64" s="226"/>
      <c r="C64" s="225" t="s">
        <v>337</v>
      </c>
      <c r="D64" s="792">
        <v>35000</v>
      </c>
      <c r="E64" s="792" t="s">
        <v>336</v>
      </c>
      <c r="F64" s="225"/>
      <c r="G64" s="225"/>
      <c r="H64" s="225"/>
    </row>
    <row r="65" spans="1:8" ht="15.75" x14ac:dyDescent="0.25">
      <c r="A65" s="226"/>
      <c r="B65" s="226"/>
      <c r="C65" s="225" t="s">
        <v>873</v>
      </c>
      <c r="D65" s="792">
        <v>35000</v>
      </c>
      <c r="E65" s="792" t="s">
        <v>336</v>
      </c>
      <c r="F65" s="225"/>
      <c r="G65" s="225"/>
      <c r="H65" s="225"/>
    </row>
    <row r="66" spans="1:8" ht="15.75" x14ac:dyDescent="0.25">
      <c r="A66" s="226"/>
      <c r="B66" s="226"/>
      <c r="C66" s="225" t="s">
        <v>872</v>
      </c>
      <c r="D66" s="792">
        <v>35000</v>
      </c>
      <c r="E66" s="792"/>
      <c r="F66" s="225"/>
      <c r="G66" s="225"/>
      <c r="H66" s="225"/>
    </row>
    <row r="67" spans="1:8" ht="15.75" x14ac:dyDescent="0.25">
      <c r="A67" s="226"/>
      <c r="B67" s="226"/>
      <c r="C67" s="225" t="s">
        <v>338</v>
      </c>
      <c r="D67" s="792">
        <v>210000</v>
      </c>
      <c r="E67" s="792" t="s">
        <v>339</v>
      </c>
      <c r="F67" s="225"/>
      <c r="G67" s="225"/>
      <c r="H67" s="225"/>
    </row>
    <row r="68" spans="1:8" ht="15.75" x14ac:dyDescent="0.25">
      <c r="A68" s="226"/>
      <c r="B68" s="226"/>
      <c r="C68" s="225" t="s">
        <v>340</v>
      </c>
      <c r="D68" s="792">
        <v>50000</v>
      </c>
      <c r="E68" s="792" t="s">
        <v>341</v>
      </c>
      <c r="F68" s="225"/>
      <c r="G68" s="225"/>
      <c r="H68" s="225"/>
    </row>
    <row r="69" spans="1:8" ht="15.75" x14ac:dyDescent="0.25">
      <c r="A69" s="226"/>
      <c r="B69" s="226"/>
      <c r="C69" s="225"/>
      <c r="D69" s="792"/>
      <c r="E69" s="792"/>
      <c r="F69" s="225"/>
      <c r="G69" s="225"/>
      <c r="H69" s="225"/>
    </row>
    <row r="70" spans="1:8" ht="15.75" x14ac:dyDescent="0.25">
      <c r="A70" s="226"/>
      <c r="B70" s="226"/>
      <c r="C70" s="225"/>
      <c r="D70" s="792"/>
      <c r="E70" s="792"/>
      <c r="F70" s="225"/>
      <c r="G70" s="225"/>
      <c r="H70" s="225"/>
    </row>
    <row r="71" spans="1:8" ht="15.75" x14ac:dyDescent="0.25">
      <c r="A71" s="226" t="s">
        <v>342</v>
      </c>
      <c r="B71" s="226" t="s">
        <v>10</v>
      </c>
      <c r="C71" s="225" t="s">
        <v>343</v>
      </c>
      <c r="D71" s="792">
        <v>330000</v>
      </c>
      <c r="E71" s="792" t="s">
        <v>344</v>
      </c>
      <c r="F71" s="225"/>
      <c r="G71" s="225"/>
      <c r="H71" s="225"/>
    </row>
    <row r="72" spans="1:8" ht="15.75" x14ac:dyDescent="0.25">
      <c r="A72" s="226"/>
      <c r="B72" s="226"/>
      <c r="C72" s="225" t="s">
        <v>275</v>
      </c>
      <c r="D72" s="792">
        <v>330000</v>
      </c>
      <c r="E72" s="792" t="s">
        <v>344</v>
      </c>
      <c r="F72" s="225"/>
      <c r="G72" s="225"/>
      <c r="H72" s="225"/>
    </row>
    <row r="73" spans="1:8" ht="15.75" x14ac:dyDescent="0.25">
      <c r="A73" s="226"/>
      <c r="B73" s="226"/>
      <c r="C73" s="225" t="s">
        <v>345</v>
      </c>
      <c r="D73" s="792">
        <v>330000</v>
      </c>
      <c r="E73" s="792" t="s">
        <v>344</v>
      </c>
      <c r="F73" s="225"/>
      <c r="G73" s="225"/>
      <c r="H73" s="225"/>
    </row>
    <row r="74" spans="1:8" ht="15.75" x14ac:dyDescent="0.25">
      <c r="A74" s="226"/>
      <c r="B74" s="226"/>
      <c r="C74" s="225" t="s">
        <v>346</v>
      </c>
      <c r="D74" s="792">
        <v>92400</v>
      </c>
      <c r="E74" s="792" t="s">
        <v>344</v>
      </c>
      <c r="F74" s="225"/>
      <c r="G74" s="225"/>
      <c r="H74" s="225"/>
    </row>
    <row r="75" spans="1:8" ht="15.75" x14ac:dyDescent="0.25">
      <c r="A75" s="226"/>
      <c r="B75" s="226"/>
      <c r="C75" s="225" t="s">
        <v>354</v>
      </c>
      <c r="D75" s="792">
        <v>198000</v>
      </c>
      <c r="E75" s="792" t="s">
        <v>344</v>
      </c>
      <c r="F75" s="225"/>
      <c r="G75" s="225"/>
      <c r="H75" s="225"/>
    </row>
    <row r="76" spans="1:8" ht="15.75" x14ac:dyDescent="0.25">
      <c r="A76" s="226"/>
      <c r="B76" s="226"/>
      <c r="C76" s="225" t="s">
        <v>347</v>
      </c>
      <c r="D76" s="792">
        <v>198000</v>
      </c>
      <c r="E76" s="792" t="s">
        <v>344</v>
      </c>
      <c r="F76" s="225"/>
      <c r="G76" s="225"/>
      <c r="H76" s="225"/>
    </row>
    <row r="77" spans="1:8" ht="15.75" x14ac:dyDescent="0.25">
      <c r="A77" s="226"/>
      <c r="B77" s="226"/>
      <c r="C77" s="225" t="s">
        <v>348</v>
      </c>
      <c r="D77" s="792">
        <v>198000</v>
      </c>
      <c r="E77" s="792" t="s">
        <v>344</v>
      </c>
      <c r="F77" s="225"/>
      <c r="G77" s="225"/>
      <c r="H77" s="225"/>
    </row>
    <row r="78" spans="1:8" ht="15.75" x14ac:dyDescent="0.25">
      <c r="A78" s="226"/>
      <c r="B78" s="226"/>
      <c r="C78" s="225"/>
      <c r="D78" s="792"/>
      <c r="E78" s="792"/>
      <c r="F78" s="225"/>
      <c r="G78" s="225"/>
      <c r="H78" s="225"/>
    </row>
    <row r="79" spans="1:8" ht="15.75" x14ac:dyDescent="0.25">
      <c r="A79" s="226" t="s">
        <v>349</v>
      </c>
      <c r="B79" s="226" t="s">
        <v>350</v>
      </c>
      <c r="C79" s="225" t="s">
        <v>351</v>
      </c>
      <c r="D79" s="792">
        <v>50000</v>
      </c>
      <c r="E79" s="792" t="s">
        <v>352</v>
      </c>
      <c r="F79" s="225"/>
      <c r="G79" s="225"/>
      <c r="H79" s="225"/>
    </row>
    <row r="80" spans="1:8" ht="15.75" x14ac:dyDescent="0.25">
      <c r="A80" s="226"/>
      <c r="B80" s="226"/>
      <c r="C80" s="225" t="s">
        <v>353</v>
      </c>
      <c r="D80" s="792">
        <v>300000</v>
      </c>
      <c r="E80" s="792" t="s">
        <v>352</v>
      </c>
      <c r="F80" s="225"/>
      <c r="G80" s="225"/>
      <c r="H80" s="225"/>
    </row>
    <row r="81" spans="1:8" ht="15.75" x14ac:dyDescent="0.25">
      <c r="A81" s="226"/>
      <c r="B81" s="226"/>
      <c r="C81" s="225" t="s">
        <v>354</v>
      </c>
      <c r="D81" s="792">
        <v>600000</v>
      </c>
      <c r="E81" s="792" t="s">
        <v>336</v>
      </c>
      <c r="F81" s="225"/>
      <c r="G81" s="225"/>
      <c r="H81" s="225"/>
    </row>
    <row r="82" spans="1:8" ht="15.75" x14ac:dyDescent="0.25">
      <c r="A82" s="226"/>
      <c r="B82" s="226"/>
      <c r="C82" s="225" t="s">
        <v>355</v>
      </c>
      <c r="D82" s="792">
        <v>228000</v>
      </c>
      <c r="E82" s="792" t="s">
        <v>336</v>
      </c>
      <c r="F82" s="225"/>
      <c r="G82" s="225"/>
      <c r="H82" s="225"/>
    </row>
    <row r="83" spans="1:8" ht="15.75" x14ac:dyDescent="0.25">
      <c r="A83" s="226"/>
      <c r="B83" s="226"/>
      <c r="C83" s="225" t="s">
        <v>107</v>
      </c>
      <c r="D83" s="792">
        <v>138000</v>
      </c>
      <c r="E83" s="792" t="s">
        <v>336</v>
      </c>
      <c r="F83" s="225"/>
      <c r="G83" s="225"/>
      <c r="H83" s="225"/>
    </row>
    <row r="84" spans="1:8" ht="15.75" x14ac:dyDescent="0.25">
      <c r="A84" s="226"/>
      <c r="B84" s="226"/>
      <c r="C84" s="225" t="s">
        <v>356</v>
      </c>
      <c r="D84" s="792">
        <v>3500</v>
      </c>
      <c r="E84" s="792" t="s">
        <v>357</v>
      </c>
      <c r="F84" s="225"/>
      <c r="G84" s="225"/>
      <c r="H84" s="225"/>
    </row>
    <row r="85" spans="1:8" ht="15.75" x14ac:dyDescent="0.25">
      <c r="A85" s="226"/>
      <c r="B85" s="226"/>
      <c r="C85" s="225"/>
      <c r="D85" s="792"/>
      <c r="E85" s="792"/>
      <c r="F85" s="225"/>
      <c r="G85" s="225"/>
      <c r="H85" s="225"/>
    </row>
    <row r="86" spans="1:8" ht="15.75" x14ac:dyDescent="0.25">
      <c r="A86" s="226"/>
      <c r="B86" s="226"/>
      <c r="C86" s="225"/>
      <c r="D86" s="792"/>
      <c r="E86" s="792"/>
      <c r="F86" s="225"/>
      <c r="G86" s="225"/>
      <c r="H86" s="225"/>
    </row>
    <row r="87" spans="1:8" ht="15.75" x14ac:dyDescent="0.25">
      <c r="A87" s="226" t="s">
        <v>358</v>
      </c>
      <c r="B87" s="226" t="s">
        <v>359</v>
      </c>
      <c r="C87" s="228" t="s">
        <v>360</v>
      </c>
      <c r="D87" s="792">
        <v>480000</v>
      </c>
      <c r="E87" s="792" t="s">
        <v>336</v>
      </c>
      <c r="F87" s="225"/>
      <c r="G87" s="225"/>
      <c r="H87" s="225"/>
    </row>
    <row r="88" spans="1:8" ht="15.75" x14ac:dyDescent="0.25">
      <c r="A88" s="226"/>
      <c r="B88" s="226"/>
      <c r="C88" s="228" t="s">
        <v>361</v>
      </c>
      <c r="D88" s="792">
        <v>138000</v>
      </c>
      <c r="E88" s="792" t="s">
        <v>336</v>
      </c>
      <c r="F88" s="225"/>
      <c r="G88" s="225"/>
      <c r="H88" s="225"/>
    </row>
    <row r="89" spans="1:8" ht="15.75" x14ac:dyDescent="0.25">
      <c r="A89" s="226"/>
      <c r="B89" s="226"/>
      <c r="C89" s="229" t="s">
        <v>362</v>
      </c>
      <c r="D89" s="792">
        <v>120000</v>
      </c>
      <c r="E89" s="792" t="s">
        <v>336</v>
      </c>
      <c r="F89" s="225"/>
      <c r="G89" s="225"/>
      <c r="H89" s="225"/>
    </row>
    <row r="90" spans="1:8" ht="15.75" x14ac:dyDescent="0.25">
      <c r="A90" s="226"/>
      <c r="B90" s="226"/>
      <c r="C90" s="229" t="s">
        <v>363</v>
      </c>
      <c r="D90" s="792">
        <v>600000</v>
      </c>
      <c r="E90" s="792" t="s">
        <v>336</v>
      </c>
      <c r="F90" s="225"/>
      <c r="G90" s="225"/>
      <c r="H90" s="225"/>
    </row>
    <row r="91" spans="1:8" ht="15.75" x14ac:dyDescent="0.25">
      <c r="A91" s="226"/>
      <c r="B91" s="226"/>
      <c r="C91" s="228" t="s">
        <v>216</v>
      </c>
      <c r="D91" s="792">
        <v>126000</v>
      </c>
      <c r="E91" s="792" t="s">
        <v>336</v>
      </c>
      <c r="F91" s="225"/>
      <c r="G91" s="225"/>
      <c r="H91" s="225"/>
    </row>
    <row r="92" spans="1:8" ht="31.5" x14ac:dyDescent="0.25">
      <c r="A92" s="226"/>
      <c r="B92" s="226"/>
      <c r="C92" s="230" t="s">
        <v>364</v>
      </c>
      <c r="D92" s="792">
        <v>400000</v>
      </c>
      <c r="E92" s="792"/>
      <c r="F92" s="225"/>
      <c r="G92" s="225"/>
      <c r="H92" s="225"/>
    </row>
    <row r="93" spans="1:8" ht="15.75" x14ac:dyDescent="0.25">
      <c r="A93" s="226"/>
      <c r="B93" s="226"/>
      <c r="C93" s="230" t="s">
        <v>365</v>
      </c>
      <c r="D93" s="792">
        <v>100000</v>
      </c>
      <c r="E93" s="792"/>
      <c r="F93" s="225"/>
      <c r="G93" s="225"/>
      <c r="H93" s="225"/>
    </row>
    <row r="94" spans="1:8" ht="15.75" x14ac:dyDescent="0.25">
      <c r="A94" s="226"/>
      <c r="B94" s="226"/>
      <c r="C94" s="230" t="s">
        <v>366</v>
      </c>
      <c r="D94" s="792">
        <v>10000</v>
      </c>
      <c r="E94" s="792"/>
      <c r="F94" s="225"/>
      <c r="G94" s="225"/>
      <c r="H94" s="225"/>
    </row>
    <row r="95" spans="1:8" ht="31.5" x14ac:dyDescent="0.25">
      <c r="A95" s="226"/>
      <c r="B95" s="226"/>
      <c r="C95" s="230" t="s">
        <v>367</v>
      </c>
      <c r="D95" s="792"/>
      <c r="E95" s="792"/>
      <c r="F95" s="225"/>
      <c r="G95" s="225"/>
      <c r="H95" s="225"/>
    </row>
    <row r="96" spans="1:8" ht="31.5" x14ac:dyDescent="0.25">
      <c r="A96" s="226"/>
      <c r="B96" s="226"/>
      <c r="C96" s="230" t="s">
        <v>368</v>
      </c>
      <c r="D96" s="792">
        <v>60000</v>
      </c>
      <c r="E96" s="792"/>
      <c r="F96" s="225"/>
      <c r="G96" s="225"/>
      <c r="H96" s="225"/>
    </row>
    <row r="97" spans="1:8" ht="31.5" x14ac:dyDescent="0.25">
      <c r="A97" s="226"/>
      <c r="B97" s="226"/>
      <c r="C97" s="230" t="s">
        <v>369</v>
      </c>
      <c r="D97" s="792">
        <v>400000</v>
      </c>
      <c r="E97" s="792"/>
      <c r="F97" s="225"/>
      <c r="G97" s="225"/>
      <c r="H97" s="225"/>
    </row>
    <row r="98" spans="1:8" ht="31.5" x14ac:dyDescent="0.25">
      <c r="A98" s="226"/>
      <c r="B98" s="226"/>
      <c r="C98" s="230" t="s">
        <v>370</v>
      </c>
      <c r="D98" s="792">
        <v>50000</v>
      </c>
      <c r="E98" s="792"/>
      <c r="F98" s="225"/>
      <c r="G98" s="225"/>
      <c r="H98" s="225"/>
    </row>
    <row r="99" spans="1:8" ht="31.5" x14ac:dyDescent="0.25">
      <c r="A99" s="226"/>
      <c r="B99" s="226"/>
      <c r="C99" s="231" t="s">
        <v>371</v>
      </c>
      <c r="D99" s="792">
        <v>30000</v>
      </c>
      <c r="E99" s="792"/>
      <c r="F99" s="225"/>
      <c r="G99" s="225"/>
      <c r="H99" s="225"/>
    </row>
    <row r="100" spans="1:8" ht="31.5" x14ac:dyDescent="0.25">
      <c r="A100" s="226"/>
      <c r="B100" s="226"/>
      <c r="C100" s="228" t="s">
        <v>372</v>
      </c>
      <c r="D100" s="792">
        <v>30000</v>
      </c>
      <c r="E100" s="792"/>
      <c r="F100" s="225"/>
      <c r="G100" s="225"/>
      <c r="H100" s="225"/>
    </row>
    <row r="101" spans="1:8" ht="31.5" x14ac:dyDescent="0.25">
      <c r="A101" s="226"/>
      <c r="B101" s="226"/>
      <c r="C101" s="228" t="s">
        <v>373</v>
      </c>
      <c r="D101" s="792">
        <v>20000</v>
      </c>
      <c r="E101" s="792"/>
      <c r="F101" s="225"/>
      <c r="G101" s="225"/>
      <c r="H101" s="225"/>
    </row>
    <row r="102" spans="1:8" ht="31.5" x14ac:dyDescent="0.25">
      <c r="A102" s="226"/>
      <c r="B102" s="226"/>
      <c r="C102" s="228" t="s">
        <v>374</v>
      </c>
      <c r="D102" s="792">
        <v>15000</v>
      </c>
      <c r="E102" s="792"/>
      <c r="F102" s="225"/>
      <c r="G102" s="225"/>
      <c r="H102" s="225"/>
    </row>
    <row r="103" spans="1:8" ht="31.5" x14ac:dyDescent="0.25">
      <c r="A103" s="226"/>
      <c r="B103" s="226"/>
      <c r="C103" s="228" t="s">
        <v>375</v>
      </c>
      <c r="D103" s="792">
        <v>30000</v>
      </c>
      <c r="E103" s="792"/>
      <c r="F103" s="225"/>
      <c r="G103" s="225"/>
      <c r="H103" s="225"/>
    </row>
    <row r="104" spans="1:8" ht="31.5" x14ac:dyDescent="0.25">
      <c r="A104" s="226"/>
      <c r="B104" s="226"/>
      <c r="C104" s="228" t="s">
        <v>376</v>
      </c>
      <c r="D104" s="792">
        <v>5000</v>
      </c>
      <c r="E104" s="792"/>
      <c r="F104" s="225"/>
      <c r="G104" s="225"/>
      <c r="H104" s="225"/>
    </row>
    <row r="105" spans="1:8" ht="31.5" x14ac:dyDescent="0.25">
      <c r="A105" s="226"/>
      <c r="B105" s="226"/>
      <c r="C105" s="228" t="s">
        <v>377</v>
      </c>
      <c r="D105" s="792">
        <v>70000</v>
      </c>
      <c r="E105" s="792"/>
      <c r="F105" s="225"/>
      <c r="G105" s="225"/>
      <c r="H105" s="225"/>
    </row>
    <row r="106" spans="1:8" ht="47.25" x14ac:dyDescent="0.25">
      <c r="A106" s="226"/>
      <c r="B106" s="226"/>
      <c r="C106" s="228" t="s">
        <v>378</v>
      </c>
      <c r="D106" s="792">
        <v>2000</v>
      </c>
      <c r="E106" s="792"/>
      <c r="F106" s="225"/>
      <c r="G106" s="225"/>
      <c r="H106" s="225"/>
    </row>
    <row r="107" spans="1:8" ht="47.25" x14ac:dyDescent="0.25">
      <c r="A107" s="226"/>
      <c r="B107" s="226"/>
      <c r="C107" s="228" t="s">
        <v>379</v>
      </c>
      <c r="D107" s="792">
        <v>1000</v>
      </c>
      <c r="E107" s="792"/>
      <c r="F107" s="225"/>
      <c r="G107" s="225"/>
      <c r="H107" s="225"/>
    </row>
    <row r="108" spans="1:8" ht="31.5" x14ac:dyDescent="0.25">
      <c r="A108" s="226"/>
      <c r="B108" s="226"/>
      <c r="C108" s="228" t="s">
        <v>380</v>
      </c>
      <c r="D108" s="792">
        <v>10000</v>
      </c>
      <c r="E108" s="792"/>
      <c r="F108" s="225"/>
      <c r="G108" s="225"/>
      <c r="H108" s="225"/>
    </row>
    <row r="109" spans="1:8" ht="63" x14ac:dyDescent="0.25">
      <c r="A109" s="226"/>
      <c r="B109" s="226"/>
      <c r="C109" s="228" t="s">
        <v>381</v>
      </c>
      <c r="D109" s="792">
        <v>6000</v>
      </c>
      <c r="E109" s="792"/>
      <c r="F109" s="225"/>
      <c r="G109" s="225"/>
      <c r="H109" s="225"/>
    </row>
    <row r="110" spans="1:8" ht="31.5" x14ac:dyDescent="0.25">
      <c r="A110" s="226"/>
      <c r="B110" s="226"/>
      <c r="C110" s="228" t="s">
        <v>382</v>
      </c>
      <c r="D110" s="792">
        <v>40000</v>
      </c>
      <c r="E110" s="792"/>
      <c r="F110" s="225"/>
      <c r="G110" s="225"/>
      <c r="H110" s="225"/>
    </row>
    <row r="111" spans="1:8" ht="15.75" x14ac:dyDescent="0.25">
      <c r="A111" s="226"/>
      <c r="B111" s="226"/>
      <c r="C111" s="225"/>
      <c r="D111" s="792"/>
      <c r="E111" s="792"/>
      <c r="F111" s="225"/>
      <c r="G111" s="225"/>
      <c r="H111" s="225"/>
    </row>
    <row r="112" spans="1:8" ht="15.75" x14ac:dyDescent="0.25">
      <c r="A112" s="226"/>
      <c r="B112" s="226"/>
      <c r="C112" s="225"/>
      <c r="D112" s="792"/>
      <c r="E112" s="792"/>
      <c r="F112" s="225"/>
      <c r="G112" s="225"/>
      <c r="H112" s="225"/>
    </row>
    <row r="113" spans="1:8" ht="15.75" x14ac:dyDescent="0.25">
      <c r="A113" s="226"/>
      <c r="B113" s="226"/>
      <c r="C113" s="225"/>
      <c r="D113" s="792"/>
      <c r="E113" s="792"/>
      <c r="F113" s="225"/>
      <c r="G113" s="225"/>
      <c r="H113" s="225"/>
    </row>
    <row r="114" spans="1:8" ht="15.75" x14ac:dyDescent="0.25">
      <c r="A114" s="226" t="s">
        <v>383</v>
      </c>
      <c r="B114" s="226" t="s">
        <v>384</v>
      </c>
      <c r="C114" s="225" t="s">
        <v>385</v>
      </c>
      <c r="D114" s="792"/>
      <c r="E114" s="792"/>
      <c r="F114" s="225"/>
      <c r="G114" s="225"/>
      <c r="H114" s="225"/>
    </row>
    <row r="115" spans="1:8" ht="15.75" x14ac:dyDescent="0.25">
      <c r="A115" s="226"/>
      <c r="B115" s="226"/>
      <c r="C115" s="225" t="s">
        <v>386</v>
      </c>
      <c r="D115" s="792">
        <v>700000</v>
      </c>
      <c r="E115" s="792" t="s">
        <v>387</v>
      </c>
      <c r="F115" s="225"/>
      <c r="G115" s="225"/>
      <c r="H115" s="225"/>
    </row>
    <row r="116" spans="1:8" ht="15.75" x14ac:dyDescent="0.25">
      <c r="A116" s="226"/>
      <c r="B116" s="226"/>
      <c r="C116" s="225" t="s">
        <v>388</v>
      </c>
      <c r="D116" s="792">
        <v>500000</v>
      </c>
      <c r="E116" s="792" t="s">
        <v>387</v>
      </c>
      <c r="F116" s="225"/>
      <c r="G116" s="225"/>
      <c r="H116" s="225"/>
    </row>
    <row r="117" spans="1:8" ht="15.75" x14ac:dyDescent="0.25">
      <c r="A117" s="226"/>
      <c r="B117" s="226"/>
      <c r="C117" s="225" t="s">
        <v>389</v>
      </c>
      <c r="D117" s="792">
        <v>300000</v>
      </c>
      <c r="E117" s="792" t="s">
        <v>387</v>
      </c>
      <c r="F117" s="225"/>
      <c r="G117" s="225"/>
      <c r="H117" s="225"/>
    </row>
    <row r="118" spans="1:8" ht="31.5" x14ac:dyDescent="0.25">
      <c r="A118" s="226"/>
      <c r="B118" s="226"/>
      <c r="C118" s="227" t="s">
        <v>390</v>
      </c>
      <c r="D118" s="792">
        <v>15000</v>
      </c>
      <c r="E118" s="792" t="s">
        <v>391</v>
      </c>
      <c r="F118" s="225"/>
      <c r="G118" s="225"/>
      <c r="H118" s="225"/>
    </row>
    <row r="119" spans="1:8" ht="15.75" x14ac:dyDescent="0.25">
      <c r="A119" s="226"/>
      <c r="B119" s="226"/>
      <c r="C119" s="225" t="s">
        <v>275</v>
      </c>
      <c r="D119" s="792">
        <v>24000</v>
      </c>
      <c r="E119" s="792" t="s">
        <v>392</v>
      </c>
      <c r="F119" s="225"/>
      <c r="G119" s="225"/>
      <c r="H119" s="225"/>
    </row>
    <row r="120" spans="1:8" ht="15.75" x14ac:dyDescent="0.25">
      <c r="A120" s="226"/>
      <c r="B120" s="226"/>
      <c r="C120" s="225" t="s">
        <v>393</v>
      </c>
      <c r="D120" s="792">
        <v>24000</v>
      </c>
      <c r="E120" s="792" t="s">
        <v>392</v>
      </c>
      <c r="F120" s="225"/>
      <c r="G120" s="225"/>
      <c r="H120" s="225"/>
    </row>
    <row r="121" spans="1:8" ht="15.75" x14ac:dyDescent="0.25">
      <c r="A121" s="226"/>
      <c r="B121" s="226"/>
      <c r="C121" s="225" t="s">
        <v>394</v>
      </c>
      <c r="D121" s="792">
        <v>24000</v>
      </c>
      <c r="E121" s="792" t="s">
        <v>392</v>
      </c>
      <c r="F121" s="225"/>
      <c r="G121" s="225"/>
      <c r="H121" s="225"/>
    </row>
    <row r="122" spans="1:8" ht="15.75" x14ac:dyDescent="0.25">
      <c r="A122" s="226"/>
      <c r="B122" s="226"/>
      <c r="C122" s="225" t="s">
        <v>323</v>
      </c>
      <c r="D122" s="792">
        <v>24000</v>
      </c>
      <c r="E122" s="792" t="s">
        <v>392</v>
      </c>
      <c r="F122" s="225"/>
      <c r="G122" s="225"/>
      <c r="H122" s="225"/>
    </row>
    <row r="123" spans="1:8" ht="15.75" x14ac:dyDescent="0.25">
      <c r="A123" s="226"/>
      <c r="B123" s="226"/>
      <c r="C123" s="225" t="s">
        <v>395</v>
      </c>
      <c r="D123" s="792">
        <v>24000</v>
      </c>
      <c r="E123" s="792" t="s">
        <v>392</v>
      </c>
      <c r="F123" s="225"/>
      <c r="G123" s="225"/>
      <c r="H123" s="225"/>
    </row>
    <row r="124" spans="1:8" ht="15.75" x14ac:dyDescent="0.25">
      <c r="A124" s="226"/>
      <c r="B124" s="226"/>
      <c r="C124" s="225" t="s">
        <v>396</v>
      </c>
      <c r="D124" s="792">
        <v>50000</v>
      </c>
      <c r="E124" s="792" t="s">
        <v>392</v>
      </c>
      <c r="F124" s="225"/>
      <c r="G124" s="225"/>
      <c r="H124" s="225"/>
    </row>
    <row r="125" spans="1:8" ht="31.5" x14ac:dyDescent="0.25">
      <c r="A125" s="226"/>
      <c r="B125" s="226"/>
      <c r="C125" s="227" t="s">
        <v>397</v>
      </c>
      <c r="D125" s="792">
        <v>80000</v>
      </c>
      <c r="E125" s="792" t="s">
        <v>391</v>
      </c>
      <c r="F125" s="225"/>
      <c r="G125" s="225"/>
      <c r="H125" s="225"/>
    </row>
    <row r="126" spans="1:8" ht="15.75" x14ac:dyDescent="0.25">
      <c r="A126" s="226"/>
      <c r="B126" s="226"/>
      <c r="C126" s="225"/>
      <c r="D126" s="792"/>
      <c r="E126" s="792"/>
      <c r="F126" s="225"/>
      <c r="G126" s="225"/>
      <c r="H126" s="225"/>
    </row>
    <row r="127" spans="1:8" ht="15.75" x14ac:dyDescent="0.25">
      <c r="A127" s="226"/>
      <c r="B127" s="226"/>
      <c r="C127" s="225"/>
      <c r="D127" s="792"/>
      <c r="E127" s="792"/>
      <c r="F127" s="225"/>
      <c r="G127" s="225"/>
      <c r="H127" s="225"/>
    </row>
    <row r="128" spans="1:8" ht="15.75" x14ac:dyDescent="0.25">
      <c r="A128" s="226" t="s">
        <v>398</v>
      </c>
      <c r="B128" s="226" t="s">
        <v>14</v>
      </c>
      <c r="C128" s="225" t="s">
        <v>351</v>
      </c>
      <c r="D128" s="792"/>
      <c r="E128" s="792"/>
      <c r="F128" s="225"/>
      <c r="G128" s="225"/>
      <c r="H128" s="225"/>
    </row>
    <row r="129" spans="1:8" ht="15.75" x14ac:dyDescent="0.25">
      <c r="A129" s="226"/>
      <c r="B129" s="226"/>
      <c r="C129" s="229" t="s">
        <v>399</v>
      </c>
      <c r="D129" s="792">
        <v>720000</v>
      </c>
      <c r="E129" s="792" t="s">
        <v>336</v>
      </c>
      <c r="F129" s="225"/>
      <c r="G129" s="229"/>
      <c r="H129" s="225"/>
    </row>
    <row r="130" spans="1:8" ht="15.75" x14ac:dyDescent="0.25">
      <c r="A130" s="226"/>
      <c r="B130" s="226"/>
      <c r="C130" s="229" t="s">
        <v>400</v>
      </c>
      <c r="D130" s="792">
        <v>600000</v>
      </c>
      <c r="E130" s="792" t="s">
        <v>336</v>
      </c>
      <c r="F130" s="225"/>
      <c r="G130" s="229"/>
      <c r="H130" s="225"/>
    </row>
    <row r="131" spans="1:8" ht="15.75" x14ac:dyDescent="0.25">
      <c r="A131" s="226"/>
      <c r="B131" s="226"/>
      <c r="C131" s="229" t="s">
        <v>401</v>
      </c>
      <c r="D131" s="792">
        <v>600000</v>
      </c>
      <c r="E131" s="792" t="s">
        <v>336</v>
      </c>
      <c r="F131" s="225"/>
      <c r="G131" s="229"/>
      <c r="H131" s="225"/>
    </row>
    <row r="132" spans="1:8" ht="15.75" x14ac:dyDescent="0.25">
      <c r="A132" s="226"/>
      <c r="B132" s="226"/>
      <c r="C132" s="229" t="s">
        <v>402</v>
      </c>
      <c r="D132" s="792">
        <v>300000</v>
      </c>
      <c r="E132" s="792" t="s">
        <v>336</v>
      </c>
      <c r="F132" s="225"/>
      <c r="G132" s="229"/>
      <c r="H132" s="225"/>
    </row>
    <row r="133" spans="1:8" ht="15.75" x14ac:dyDescent="0.25">
      <c r="A133" s="226"/>
      <c r="B133" s="226"/>
      <c r="C133" s="229" t="s">
        <v>403</v>
      </c>
      <c r="D133" s="792">
        <v>144000</v>
      </c>
      <c r="E133" s="792" t="s">
        <v>336</v>
      </c>
      <c r="F133" s="225"/>
      <c r="G133" s="229"/>
      <c r="H133" s="225"/>
    </row>
    <row r="134" spans="1:8" ht="15.75" x14ac:dyDescent="0.25">
      <c r="A134" s="226"/>
      <c r="B134" s="226"/>
      <c r="C134" s="229" t="s">
        <v>404</v>
      </c>
      <c r="D134" s="792">
        <v>180000</v>
      </c>
      <c r="E134" s="792" t="s">
        <v>336</v>
      </c>
      <c r="F134" s="225"/>
      <c r="G134" s="229"/>
      <c r="H134" s="225"/>
    </row>
    <row r="135" spans="1:8" ht="15.75" x14ac:dyDescent="0.25">
      <c r="A135" s="226"/>
      <c r="B135" s="226"/>
      <c r="C135" s="229" t="s">
        <v>405</v>
      </c>
      <c r="D135" s="792">
        <v>144000</v>
      </c>
      <c r="E135" s="792" t="s">
        <v>336</v>
      </c>
      <c r="F135" s="225"/>
      <c r="G135" s="229"/>
      <c r="H135" s="225"/>
    </row>
    <row r="136" spans="1:8" ht="15.75" x14ac:dyDescent="0.25">
      <c r="A136" s="226"/>
      <c r="B136" s="226"/>
      <c r="C136" s="229" t="s">
        <v>406</v>
      </c>
      <c r="D136" s="792">
        <v>600000</v>
      </c>
      <c r="E136" s="792" t="s">
        <v>336</v>
      </c>
      <c r="F136" s="225"/>
      <c r="G136" s="229"/>
      <c r="H136" s="225"/>
    </row>
    <row r="137" spans="1:8" ht="15.75" x14ac:dyDescent="0.25">
      <c r="A137" s="226"/>
      <c r="B137" s="226"/>
      <c r="C137" s="229" t="s">
        <v>407</v>
      </c>
      <c r="D137" s="792">
        <v>180000</v>
      </c>
      <c r="E137" s="792" t="s">
        <v>336</v>
      </c>
      <c r="F137" s="225"/>
      <c r="G137" s="229"/>
      <c r="H137" s="225"/>
    </row>
    <row r="138" spans="1:8" ht="15.75" x14ac:dyDescent="0.25">
      <c r="A138" s="226"/>
      <c r="B138" s="226"/>
      <c r="C138" s="229" t="s">
        <v>408</v>
      </c>
      <c r="D138" s="792">
        <v>240000</v>
      </c>
      <c r="E138" s="792" t="s">
        <v>336</v>
      </c>
      <c r="F138" s="225"/>
      <c r="G138" s="229"/>
      <c r="H138" s="225"/>
    </row>
    <row r="139" spans="1:8" ht="31.5" x14ac:dyDescent="0.25">
      <c r="A139" s="226"/>
      <c r="B139" s="226"/>
      <c r="C139" s="228" t="s">
        <v>409</v>
      </c>
      <c r="D139" s="792">
        <v>420000</v>
      </c>
      <c r="E139" s="792" t="s">
        <v>336</v>
      </c>
      <c r="F139" s="225"/>
      <c r="G139" s="229"/>
      <c r="H139" s="225"/>
    </row>
    <row r="140" spans="1:8" ht="15.75" x14ac:dyDescent="0.25">
      <c r="A140" s="226"/>
      <c r="B140" s="226"/>
      <c r="C140" s="232" t="s">
        <v>393</v>
      </c>
      <c r="D140" s="792"/>
      <c r="E140" s="792" t="s">
        <v>336</v>
      </c>
      <c r="F140" s="225"/>
      <c r="G140" s="229"/>
      <c r="H140" s="225"/>
    </row>
    <row r="141" spans="1:8" ht="15.75" x14ac:dyDescent="0.25">
      <c r="A141" s="226"/>
      <c r="B141" s="226"/>
      <c r="C141" s="229" t="s">
        <v>410</v>
      </c>
      <c r="D141" s="792">
        <v>600000</v>
      </c>
      <c r="E141" s="792" t="s">
        <v>336</v>
      </c>
      <c r="F141" s="225"/>
      <c r="G141" s="229"/>
      <c r="H141" s="225"/>
    </row>
    <row r="142" spans="1:8" ht="15.75" x14ac:dyDescent="0.25">
      <c r="A142" s="226"/>
      <c r="B142" s="226"/>
      <c r="C142" s="232" t="s">
        <v>411</v>
      </c>
      <c r="D142" s="792"/>
      <c r="E142" s="792" t="s">
        <v>336</v>
      </c>
      <c r="F142" s="225"/>
      <c r="G142" s="229"/>
      <c r="H142" s="225"/>
    </row>
    <row r="143" spans="1:8" ht="15.75" x14ac:dyDescent="0.25">
      <c r="A143" s="226"/>
      <c r="B143" s="226"/>
      <c r="C143" s="229" t="s">
        <v>412</v>
      </c>
      <c r="D143" s="792">
        <v>720000</v>
      </c>
      <c r="E143" s="792" t="s">
        <v>336</v>
      </c>
      <c r="F143" s="225"/>
      <c r="G143" s="229"/>
      <c r="H143" s="225"/>
    </row>
    <row r="144" spans="1:8" ht="15.75" x14ac:dyDescent="0.25">
      <c r="A144" s="226"/>
      <c r="B144" s="226"/>
      <c r="C144" s="229" t="s">
        <v>413</v>
      </c>
      <c r="D144" s="792">
        <v>228000</v>
      </c>
      <c r="E144" s="792" t="s">
        <v>336</v>
      </c>
      <c r="F144" s="225"/>
      <c r="G144" s="229"/>
      <c r="H144" s="225"/>
    </row>
    <row r="145" spans="1:8" ht="15.75" x14ac:dyDescent="0.25">
      <c r="A145" s="226"/>
      <c r="B145" s="226"/>
      <c r="C145" s="229" t="s">
        <v>414</v>
      </c>
      <c r="D145" s="792">
        <v>156000</v>
      </c>
      <c r="E145" s="792" t="s">
        <v>336</v>
      </c>
      <c r="F145" s="225"/>
      <c r="G145" s="229"/>
      <c r="H145" s="225"/>
    </row>
    <row r="146" spans="1:8" ht="15.75" x14ac:dyDescent="0.25">
      <c r="A146" s="226"/>
      <c r="B146" s="226"/>
      <c r="C146" s="232" t="s">
        <v>394</v>
      </c>
      <c r="D146" s="792"/>
      <c r="E146" s="792" t="s">
        <v>336</v>
      </c>
      <c r="F146" s="225"/>
      <c r="G146" s="229"/>
      <c r="H146" s="225"/>
    </row>
    <row r="147" spans="1:8" ht="15.75" x14ac:dyDescent="0.25">
      <c r="A147" s="226"/>
      <c r="B147" s="226"/>
      <c r="C147" s="229" t="s">
        <v>415</v>
      </c>
      <c r="D147" s="792">
        <v>180000</v>
      </c>
      <c r="E147" s="792" t="s">
        <v>336</v>
      </c>
      <c r="F147" s="225"/>
      <c r="G147" s="229"/>
      <c r="H147" s="225"/>
    </row>
    <row r="148" spans="1:8" ht="15.75" x14ac:dyDescent="0.25">
      <c r="A148" s="226"/>
      <c r="B148" s="226"/>
      <c r="C148" s="229" t="s">
        <v>416</v>
      </c>
      <c r="D148" s="792">
        <v>120000</v>
      </c>
      <c r="E148" s="792" t="s">
        <v>336</v>
      </c>
      <c r="F148" s="225"/>
      <c r="G148" s="229"/>
      <c r="H148" s="225"/>
    </row>
    <row r="149" spans="1:8" ht="15.75" x14ac:dyDescent="0.25">
      <c r="A149" s="226"/>
      <c r="B149" s="226"/>
      <c r="C149" s="233" t="s">
        <v>417</v>
      </c>
      <c r="D149" s="792"/>
      <c r="E149" s="792" t="s">
        <v>336</v>
      </c>
      <c r="F149" s="225"/>
      <c r="G149" s="229"/>
      <c r="H149" s="225"/>
    </row>
    <row r="150" spans="1:8" ht="15.75" x14ac:dyDescent="0.25">
      <c r="A150" s="226"/>
      <c r="B150" s="226"/>
      <c r="C150" s="229" t="s">
        <v>418</v>
      </c>
      <c r="D150" s="792">
        <v>480000</v>
      </c>
      <c r="E150" s="792" t="s">
        <v>336</v>
      </c>
      <c r="F150" s="225"/>
      <c r="G150" s="229"/>
      <c r="H150" s="225"/>
    </row>
    <row r="151" spans="1:8" ht="15.75" x14ac:dyDescent="0.25">
      <c r="A151" s="226"/>
      <c r="B151" s="226"/>
      <c r="C151" s="229" t="s">
        <v>419</v>
      </c>
      <c r="D151" s="792">
        <v>180000</v>
      </c>
      <c r="E151" s="792" t="s">
        <v>336</v>
      </c>
      <c r="F151" s="225"/>
      <c r="G151" s="229"/>
      <c r="H151" s="225"/>
    </row>
    <row r="152" spans="1:8" ht="15.75" x14ac:dyDescent="0.25">
      <c r="A152" s="226"/>
      <c r="B152" s="226"/>
      <c r="C152" s="229" t="s">
        <v>420</v>
      </c>
      <c r="D152" s="792">
        <v>180000</v>
      </c>
      <c r="E152" s="792" t="s">
        <v>336</v>
      </c>
      <c r="F152" s="225"/>
      <c r="G152" s="229"/>
      <c r="H152" s="225"/>
    </row>
    <row r="153" spans="1:8" ht="15.75" x14ac:dyDescent="0.25">
      <c r="A153" s="226"/>
      <c r="B153" s="226"/>
      <c r="C153" s="229" t="s">
        <v>896</v>
      </c>
      <c r="D153" s="792">
        <v>138000</v>
      </c>
      <c r="E153" s="792" t="s">
        <v>336</v>
      </c>
      <c r="F153" s="225"/>
      <c r="G153" s="229"/>
      <c r="H153" s="225"/>
    </row>
    <row r="154" spans="1:8" ht="15.75" x14ac:dyDescent="0.25">
      <c r="A154" s="226"/>
      <c r="B154" s="226"/>
      <c r="C154" s="229" t="s">
        <v>421</v>
      </c>
      <c r="D154" s="792">
        <v>120000</v>
      </c>
      <c r="E154" s="792" t="s">
        <v>336</v>
      </c>
      <c r="F154" s="225"/>
      <c r="G154" s="229"/>
      <c r="H154" s="225"/>
    </row>
    <row r="155" spans="1:8" ht="15.75" x14ac:dyDescent="0.25">
      <c r="A155" s="226"/>
      <c r="B155" s="226"/>
      <c r="C155" s="229" t="s">
        <v>422</v>
      </c>
      <c r="D155" s="792">
        <v>120000</v>
      </c>
      <c r="E155" s="792" t="s">
        <v>336</v>
      </c>
      <c r="F155" s="225"/>
      <c r="G155" s="229"/>
      <c r="H155" s="225"/>
    </row>
    <row r="156" spans="1:8" ht="15.75" x14ac:dyDescent="0.25">
      <c r="A156" s="226"/>
      <c r="B156" s="226"/>
      <c r="C156" s="229" t="s">
        <v>423</v>
      </c>
      <c r="D156" s="792">
        <v>126000</v>
      </c>
      <c r="E156" s="792" t="s">
        <v>336</v>
      </c>
      <c r="F156" s="225"/>
      <c r="G156" s="229"/>
      <c r="H156" s="225"/>
    </row>
    <row r="157" spans="1:8" ht="15.75" x14ac:dyDescent="0.25">
      <c r="A157" s="226"/>
      <c r="B157" s="226"/>
      <c r="C157" s="229" t="s">
        <v>424</v>
      </c>
      <c r="D157" s="792">
        <v>228000</v>
      </c>
      <c r="E157" s="792" t="s">
        <v>336</v>
      </c>
      <c r="F157" s="225"/>
      <c r="G157" s="229"/>
      <c r="H157" s="225"/>
    </row>
    <row r="158" spans="1:8" ht="15.75" x14ac:dyDescent="0.25">
      <c r="A158" s="226"/>
      <c r="B158" s="226"/>
      <c r="C158" s="229" t="s">
        <v>425</v>
      </c>
      <c r="D158" s="792">
        <v>540000</v>
      </c>
      <c r="E158" s="792" t="s">
        <v>336</v>
      </c>
      <c r="F158" s="225"/>
      <c r="G158" s="229"/>
      <c r="H158" s="225"/>
    </row>
    <row r="159" spans="1:8" ht="15.75" x14ac:dyDescent="0.25">
      <c r="A159" s="226"/>
      <c r="B159" s="226"/>
      <c r="C159" s="229" t="s">
        <v>426</v>
      </c>
      <c r="D159" s="792">
        <v>228000</v>
      </c>
      <c r="E159" s="792" t="s">
        <v>336</v>
      </c>
      <c r="F159" s="225"/>
      <c r="G159" s="229"/>
      <c r="H159" s="225"/>
    </row>
    <row r="160" spans="1:8" ht="15.75" x14ac:dyDescent="0.25">
      <c r="A160" s="226"/>
      <c r="B160" s="226"/>
      <c r="C160" s="229" t="s">
        <v>427</v>
      </c>
      <c r="D160" s="792">
        <v>480000</v>
      </c>
      <c r="E160" s="792" t="s">
        <v>336</v>
      </c>
      <c r="F160" s="225"/>
      <c r="G160" s="229"/>
      <c r="H160" s="225"/>
    </row>
    <row r="161" spans="1:8" ht="15.75" x14ac:dyDescent="0.25">
      <c r="A161" s="226"/>
      <c r="B161" s="226"/>
      <c r="C161" s="229" t="s">
        <v>428</v>
      </c>
      <c r="D161" s="792">
        <v>120000</v>
      </c>
      <c r="E161" s="792" t="s">
        <v>336</v>
      </c>
      <c r="F161" s="225"/>
      <c r="G161" s="229"/>
      <c r="H161" s="225"/>
    </row>
    <row r="162" spans="1:8" ht="15.75" x14ac:dyDescent="0.25">
      <c r="A162" s="226"/>
      <c r="B162" s="226"/>
      <c r="C162" s="229" t="s">
        <v>429</v>
      </c>
      <c r="D162" s="792">
        <v>120000</v>
      </c>
      <c r="E162" s="792" t="s">
        <v>336</v>
      </c>
      <c r="F162" s="225"/>
      <c r="G162" s="229"/>
      <c r="H162" s="225"/>
    </row>
    <row r="163" spans="1:8" ht="15.75" x14ac:dyDescent="0.25">
      <c r="A163" s="226"/>
      <c r="B163" s="226"/>
      <c r="C163" s="229" t="s">
        <v>430</v>
      </c>
      <c r="D163" s="792">
        <v>120000</v>
      </c>
      <c r="E163" s="792" t="s">
        <v>336</v>
      </c>
      <c r="F163" s="225"/>
      <c r="G163" s="229"/>
      <c r="H163" s="225"/>
    </row>
    <row r="164" spans="1:8" ht="15.75" x14ac:dyDescent="0.25">
      <c r="A164" s="226"/>
      <c r="B164" s="226"/>
      <c r="C164" s="229" t="s">
        <v>431</v>
      </c>
      <c r="D164" s="792">
        <v>120000</v>
      </c>
      <c r="E164" s="792" t="s">
        <v>336</v>
      </c>
      <c r="F164" s="225"/>
      <c r="G164" s="229"/>
      <c r="H164" s="225"/>
    </row>
    <row r="165" spans="1:8" ht="15.75" x14ac:dyDescent="0.25">
      <c r="A165" s="226"/>
      <c r="B165" s="226"/>
      <c r="C165" s="229" t="s">
        <v>432</v>
      </c>
      <c r="D165" s="792">
        <v>264000</v>
      </c>
      <c r="E165" s="792" t="s">
        <v>336</v>
      </c>
      <c r="F165" s="225"/>
      <c r="G165" s="229"/>
      <c r="H165" s="225"/>
    </row>
    <row r="166" spans="1:8" ht="15.75" x14ac:dyDescent="0.25">
      <c r="A166" s="226"/>
      <c r="B166" s="226"/>
      <c r="C166" s="225"/>
      <c r="D166" s="792"/>
      <c r="E166" s="792"/>
      <c r="F166" s="225"/>
      <c r="G166" s="225"/>
      <c r="H166" s="225"/>
    </row>
    <row r="167" spans="1:8" ht="15.75" x14ac:dyDescent="0.25">
      <c r="A167" s="226" t="s">
        <v>433</v>
      </c>
      <c r="B167" s="226" t="s">
        <v>15</v>
      </c>
      <c r="C167" s="225" t="s">
        <v>434</v>
      </c>
      <c r="D167" s="794">
        <v>225000</v>
      </c>
      <c r="E167" s="792" t="s">
        <v>391</v>
      </c>
      <c r="F167" s="225"/>
      <c r="G167" s="225"/>
      <c r="H167" s="225"/>
    </row>
    <row r="168" spans="1:8" ht="15.75" x14ac:dyDescent="0.25">
      <c r="A168" s="226"/>
      <c r="B168" s="226"/>
      <c r="C168" s="225" t="s">
        <v>294</v>
      </c>
      <c r="D168" s="792"/>
      <c r="E168" s="792"/>
      <c r="F168" s="225"/>
      <c r="G168" s="225"/>
      <c r="H168" s="225"/>
    </row>
    <row r="169" spans="1:8" ht="15.75" x14ac:dyDescent="0.25">
      <c r="A169" s="226"/>
      <c r="B169" s="226"/>
      <c r="C169" s="225"/>
      <c r="D169" s="792"/>
      <c r="E169" s="792"/>
      <c r="F169" s="225"/>
      <c r="G169" s="225"/>
      <c r="H169" s="225"/>
    </row>
    <row r="170" spans="1:8" ht="15.75" x14ac:dyDescent="0.25">
      <c r="A170" s="226" t="s">
        <v>435</v>
      </c>
      <c r="B170" s="226" t="s">
        <v>436</v>
      </c>
      <c r="C170" s="229" t="s">
        <v>205</v>
      </c>
      <c r="D170" s="792"/>
      <c r="E170" s="792"/>
      <c r="F170" s="225"/>
      <c r="G170" s="225"/>
      <c r="H170" s="225"/>
    </row>
    <row r="171" spans="1:8" ht="15.75" x14ac:dyDescent="0.25">
      <c r="A171" s="226"/>
      <c r="B171" s="226"/>
      <c r="C171" s="229" t="s">
        <v>437</v>
      </c>
      <c r="D171" s="792"/>
      <c r="E171" s="792"/>
      <c r="F171" s="225"/>
      <c r="G171" s="225"/>
      <c r="H171" s="225"/>
    </row>
    <row r="172" spans="1:8" ht="15.75" x14ac:dyDescent="0.25">
      <c r="A172" s="226"/>
      <c r="B172" s="226"/>
      <c r="C172" s="229" t="s">
        <v>438</v>
      </c>
      <c r="D172" s="792"/>
      <c r="E172" s="792"/>
      <c r="F172" s="225"/>
      <c r="G172" s="225"/>
      <c r="H172" s="225"/>
    </row>
    <row r="173" spans="1:8" ht="15.75" x14ac:dyDescent="0.25">
      <c r="A173" s="226"/>
      <c r="B173" s="226"/>
      <c r="C173" s="229" t="s">
        <v>439</v>
      </c>
      <c r="D173" s="792"/>
      <c r="E173" s="792"/>
      <c r="F173" s="225"/>
      <c r="G173" s="225"/>
      <c r="H173" s="225"/>
    </row>
    <row r="174" spans="1:8" ht="15.75" x14ac:dyDescent="0.25">
      <c r="A174" s="226"/>
      <c r="B174" s="226"/>
      <c r="C174" s="225"/>
      <c r="D174" s="792"/>
      <c r="E174" s="792"/>
      <c r="F174" s="225"/>
      <c r="G174" s="225"/>
      <c r="H174" s="225"/>
    </row>
    <row r="175" spans="1:8" ht="15.75" x14ac:dyDescent="0.25">
      <c r="A175" s="226"/>
      <c r="B175" s="226"/>
      <c r="C175" s="225"/>
      <c r="D175" s="792"/>
      <c r="E175" s="792"/>
      <c r="F175" s="225"/>
      <c r="G175" s="225"/>
      <c r="H175" s="225"/>
    </row>
    <row r="176" spans="1:8" ht="15.75" x14ac:dyDescent="0.25">
      <c r="A176" s="226" t="s">
        <v>440</v>
      </c>
      <c r="B176" s="226" t="s">
        <v>441</v>
      </c>
      <c r="C176" s="225"/>
      <c r="D176" s="792"/>
      <c r="E176" s="792"/>
      <c r="F176" s="225"/>
      <c r="G176" s="225"/>
      <c r="H176" s="225"/>
    </row>
    <row r="177" spans="1:8" ht="15.75" x14ac:dyDescent="0.25">
      <c r="A177" s="226" t="s">
        <v>442</v>
      </c>
      <c r="B177" s="226" t="s">
        <v>443</v>
      </c>
      <c r="C177" s="225" t="s">
        <v>444</v>
      </c>
      <c r="D177" s="792">
        <v>65000</v>
      </c>
      <c r="E177" s="792" t="s">
        <v>344</v>
      </c>
      <c r="F177" s="225"/>
      <c r="G177" s="225"/>
      <c r="H177" s="225"/>
    </row>
    <row r="178" spans="1:8" ht="15.75" x14ac:dyDescent="0.25">
      <c r="A178" s="226"/>
      <c r="B178" s="226"/>
      <c r="C178" s="225" t="s">
        <v>445</v>
      </c>
      <c r="D178" s="792">
        <v>650000</v>
      </c>
      <c r="E178" s="792" t="s">
        <v>344</v>
      </c>
      <c r="F178" s="225"/>
      <c r="G178" s="225"/>
      <c r="H178" s="225"/>
    </row>
    <row r="179" spans="1:8" ht="15.75" x14ac:dyDescent="0.25">
      <c r="A179" s="226"/>
      <c r="B179" s="226"/>
      <c r="C179" s="225"/>
      <c r="D179" s="792"/>
      <c r="E179" s="792"/>
      <c r="F179" s="225"/>
      <c r="G179" s="225"/>
      <c r="H179" s="225"/>
    </row>
    <row r="180" spans="1:8" ht="15.75" x14ac:dyDescent="0.25">
      <c r="A180" s="226" t="s">
        <v>446</v>
      </c>
      <c r="B180" s="226" t="s">
        <v>447</v>
      </c>
      <c r="C180" s="234" t="s">
        <v>448</v>
      </c>
      <c r="D180" s="792">
        <v>60000</v>
      </c>
      <c r="E180" s="792"/>
      <c r="F180" s="225"/>
      <c r="G180" s="225"/>
      <c r="H180" s="225"/>
    </row>
    <row r="181" spans="1:8" ht="15.75" x14ac:dyDescent="0.25">
      <c r="A181" s="226"/>
      <c r="B181" s="226"/>
      <c r="C181" s="234" t="s">
        <v>320</v>
      </c>
      <c r="D181" s="792">
        <v>12000</v>
      </c>
      <c r="E181" s="792"/>
      <c r="F181" s="225"/>
      <c r="G181" s="225"/>
      <c r="H181" s="225"/>
    </row>
    <row r="182" spans="1:8" ht="15.75" x14ac:dyDescent="0.25">
      <c r="A182" s="226"/>
      <c r="B182" s="226"/>
      <c r="C182" s="234" t="s">
        <v>449</v>
      </c>
      <c r="D182" s="792">
        <v>75000</v>
      </c>
      <c r="E182" s="792"/>
      <c r="F182" s="225"/>
      <c r="G182" s="225"/>
      <c r="H182" s="225"/>
    </row>
    <row r="183" spans="1:8" ht="15.75" x14ac:dyDescent="0.25">
      <c r="A183" s="226"/>
      <c r="B183" s="226"/>
      <c r="C183" s="234" t="s">
        <v>322</v>
      </c>
      <c r="D183" s="792">
        <v>920000</v>
      </c>
      <c r="E183" s="792"/>
      <c r="F183" s="225"/>
      <c r="G183" s="225"/>
      <c r="H183" s="225"/>
    </row>
    <row r="184" spans="1:8" ht="15.75" x14ac:dyDescent="0.25">
      <c r="A184" s="226"/>
      <c r="B184" s="226"/>
      <c r="C184" s="234" t="s">
        <v>450</v>
      </c>
      <c r="D184" s="792">
        <v>10000</v>
      </c>
      <c r="E184" s="792"/>
      <c r="F184" s="225"/>
      <c r="G184" s="225"/>
      <c r="H184" s="225"/>
    </row>
    <row r="185" spans="1:8" ht="15.75" x14ac:dyDescent="0.25">
      <c r="A185" s="226"/>
      <c r="B185" s="226"/>
      <c r="C185" s="234" t="s">
        <v>451</v>
      </c>
      <c r="D185" s="792">
        <v>100000</v>
      </c>
      <c r="E185" s="792"/>
      <c r="F185" s="225"/>
      <c r="G185" s="225"/>
      <c r="H185" s="225"/>
    </row>
    <row r="186" spans="1:8" ht="15.75" x14ac:dyDescent="0.25">
      <c r="A186" s="226"/>
      <c r="B186" s="226"/>
      <c r="C186" s="235" t="s">
        <v>89</v>
      </c>
      <c r="D186" s="792">
        <v>22500</v>
      </c>
      <c r="E186" s="792"/>
      <c r="F186" s="225"/>
      <c r="G186" s="225"/>
      <c r="H186" s="225"/>
    </row>
    <row r="187" spans="1:8" ht="15.75" x14ac:dyDescent="0.25">
      <c r="A187" s="226"/>
      <c r="B187" s="226"/>
      <c r="C187" s="234" t="s">
        <v>452</v>
      </c>
      <c r="D187" s="792">
        <v>100000</v>
      </c>
      <c r="E187" s="792"/>
      <c r="F187" s="225"/>
      <c r="G187" s="225"/>
      <c r="H187" s="225"/>
    </row>
    <row r="188" spans="1:8" ht="31.5" x14ac:dyDescent="0.25">
      <c r="A188" s="226"/>
      <c r="B188" s="226"/>
      <c r="C188" s="235" t="s">
        <v>453</v>
      </c>
      <c r="D188" s="792">
        <v>500000</v>
      </c>
      <c r="E188" s="792"/>
      <c r="F188" s="225"/>
      <c r="G188" s="225"/>
      <c r="H188" s="225"/>
    </row>
    <row r="189" spans="1:8" ht="15.75" x14ac:dyDescent="0.25">
      <c r="A189" s="226"/>
      <c r="B189" s="226"/>
      <c r="C189" s="225"/>
      <c r="D189" s="792"/>
      <c r="E189" s="792"/>
      <c r="F189" s="225"/>
      <c r="G189" s="225"/>
      <c r="H189" s="225"/>
    </row>
    <row r="190" spans="1:8" ht="15.75" x14ac:dyDescent="0.25">
      <c r="A190" s="226"/>
      <c r="B190" s="226"/>
      <c r="C190" s="225"/>
      <c r="D190" s="792"/>
      <c r="E190" s="792"/>
      <c r="F190" s="225"/>
      <c r="G190" s="225"/>
      <c r="H190" s="225"/>
    </row>
    <row r="191" spans="1:8" ht="78.75" x14ac:dyDescent="0.25">
      <c r="A191" s="226" t="s">
        <v>454</v>
      </c>
      <c r="B191" s="236" t="s">
        <v>455</v>
      </c>
      <c r="C191" s="227" t="s">
        <v>890</v>
      </c>
      <c r="D191" s="792">
        <v>750</v>
      </c>
      <c r="E191" s="792" t="s">
        <v>357</v>
      </c>
      <c r="F191" s="225"/>
      <c r="G191" s="225"/>
      <c r="H191" s="225"/>
    </row>
    <row r="192" spans="1:8" ht="47.25" x14ac:dyDescent="0.25">
      <c r="A192" s="226"/>
      <c r="B192" s="226"/>
      <c r="C192" s="227" t="s">
        <v>898</v>
      </c>
      <c r="D192" s="792">
        <v>25</v>
      </c>
      <c r="E192" s="799" t="s">
        <v>899</v>
      </c>
      <c r="F192" s="225"/>
      <c r="G192" s="225"/>
      <c r="H192" s="225"/>
    </row>
    <row r="193" spans="1:8" ht="63" x14ac:dyDescent="0.25">
      <c r="A193" s="226"/>
      <c r="B193" s="226"/>
      <c r="C193" s="809" t="s">
        <v>456</v>
      </c>
      <c r="D193" s="810">
        <v>200</v>
      </c>
      <c r="E193" s="811" t="s">
        <v>457</v>
      </c>
      <c r="F193" s="227"/>
      <c r="G193" s="225"/>
      <c r="H193" s="225"/>
    </row>
    <row r="194" spans="1:8" ht="94.5" x14ac:dyDescent="0.25">
      <c r="A194" s="226"/>
      <c r="B194" s="226"/>
      <c r="C194" s="798" t="s">
        <v>891</v>
      </c>
      <c r="D194" s="792" t="s">
        <v>893</v>
      </c>
      <c r="E194" s="797" t="s">
        <v>892</v>
      </c>
      <c r="F194" s="225"/>
      <c r="G194" s="225"/>
      <c r="H194" s="225"/>
    </row>
    <row r="195" spans="1:8" ht="15.75" x14ac:dyDescent="0.25">
      <c r="A195" s="226"/>
      <c r="B195" s="226"/>
      <c r="C195" s="225"/>
      <c r="D195" s="792"/>
      <c r="E195" s="792"/>
      <c r="F195" s="225"/>
      <c r="G195" s="225"/>
      <c r="H195" s="225"/>
    </row>
    <row r="196" spans="1:8" ht="15.75" x14ac:dyDescent="0.25">
      <c r="A196" s="226"/>
      <c r="B196" s="226"/>
      <c r="C196" s="225"/>
      <c r="D196" s="792"/>
      <c r="E196" s="792"/>
      <c r="F196" s="225"/>
      <c r="G196" s="225"/>
      <c r="H196" s="225"/>
    </row>
    <row r="197" spans="1:8" ht="15.75" x14ac:dyDescent="0.25">
      <c r="A197" s="226"/>
      <c r="B197" s="226"/>
      <c r="C197" s="225"/>
      <c r="D197" s="792"/>
      <c r="E197" s="792"/>
      <c r="F197" s="225"/>
      <c r="G197" s="225"/>
      <c r="H197" s="225"/>
    </row>
    <row r="198" spans="1:8" ht="15.75" x14ac:dyDescent="0.25">
      <c r="A198" s="226" t="s">
        <v>458</v>
      </c>
      <c r="B198" s="226" t="s">
        <v>20</v>
      </c>
      <c r="C198" s="227" t="s">
        <v>292</v>
      </c>
      <c r="D198" s="792"/>
      <c r="E198" s="792"/>
      <c r="F198" s="225"/>
      <c r="G198" s="225"/>
      <c r="H198" s="225"/>
    </row>
    <row r="199" spans="1:8" ht="15.75" x14ac:dyDescent="0.25">
      <c r="A199" s="226"/>
      <c r="B199" s="226"/>
      <c r="C199" s="225" t="s">
        <v>386</v>
      </c>
      <c r="D199" s="792">
        <v>700000</v>
      </c>
      <c r="E199" s="792"/>
      <c r="F199" s="225"/>
      <c r="G199" s="225"/>
      <c r="H199" s="225"/>
    </row>
    <row r="200" spans="1:8" ht="15.75" x14ac:dyDescent="0.25">
      <c r="A200" s="226"/>
      <c r="B200" s="226"/>
      <c r="C200" s="225" t="s">
        <v>388</v>
      </c>
      <c r="D200" s="792">
        <v>500000</v>
      </c>
      <c r="E200" s="792"/>
      <c r="F200" s="225"/>
      <c r="G200" s="225"/>
      <c r="H200" s="225"/>
    </row>
    <row r="201" spans="1:8" ht="15.75" x14ac:dyDescent="0.25">
      <c r="A201" s="226"/>
      <c r="B201" s="226"/>
      <c r="C201" s="225" t="s">
        <v>389</v>
      </c>
      <c r="D201" s="792">
        <v>300000</v>
      </c>
      <c r="E201" s="792"/>
      <c r="F201" s="225"/>
      <c r="G201" s="225"/>
      <c r="H201" s="225"/>
    </row>
    <row r="202" spans="1:8" ht="31.5" x14ac:dyDescent="0.25">
      <c r="A202" s="226"/>
      <c r="B202" s="226"/>
      <c r="C202" s="227" t="s">
        <v>390</v>
      </c>
      <c r="D202" s="792">
        <v>35000</v>
      </c>
      <c r="E202" s="792" t="s">
        <v>459</v>
      </c>
      <c r="F202" s="225"/>
      <c r="G202" s="225"/>
      <c r="H202" s="225"/>
    </row>
    <row r="203" spans="1:8" ht="15.75" x14ac:dyDescent="0.25">
      <c r="A203" s="226"/>
      <c r="B203" s="226"/>
      <c r="C203" s="225" t="s">
        <v>396</v>
      </c>
      <c r="D203" s="792">
        <v>80000</v>
      </c>
      <c r="E203" s="792"/>
      <c r="F203" s="225"/>
      <c r="G203" s="225"/>
      <c r="H203" s="225"/>
    </row>
    <row r="204" spans="1:8" ht="31.5" x14ac:dyDescent="0.25">
      <c r="A204" s="226"/>
      <c r="B204" s="226"/>
      <c r="C204" s="227" t="s">
        <v>397</v>
      </c>
      <c r="D204" s="792">
        <v>230000</v>
      </c>
      <c r="E204" s="792" t="s">
        <v>391</v>
      </c>
      <c r="F204" s="225"/>
      <c r="G204" s="225"/>
      <c r="H204" s="225"/>
    </row>
    <row r="205" spans="1:8" ht="15.75" x14ac:dyDescent="0.25">
      <c r="A205" s="226"/>
      <c r="B205" s="226"/>
      <c r="C205" s="225" t="s">
        <v>460</v>
      </c>
      <c r="D205" s="792">
        <v>81000</v>
      </c>
      <c r="E205" s="792" t="s">
        <v>461</v>
      </c>
      <c r="F205" s="225"/>
      <c r="G205" s="225"/>
      <c r="H205" s="225"/>
    </row>
    <row r="206" spans="1:8" ht="15.75" x14ac:dyDescent="0.25">
      <c r="A206" s="226"/>
      <c r="B206" s="226"/>
      <c r="C206" s="227" t="s">
        <v>462</v>
      </c>
      <c r="D206" s="792"/>
      <c r="E206" s="792"/>
      <c r="F206" s="225"/>
      <c r="G206" s="225"/>
      <c r="H206" s="225"/>
    </row>
    <row r="207" spans="1:8" ht="15.75" x14ac:dyDescent="0.25">
      <c r="A207" s="226"/>
      <c r="B207" s="226"/>
      <c r="C207" s="225" t="s">
        <v>292</v>
      </c>
      <c r="D207" s="792"/>
      <c r="E207" s="792"/>
      <c r="F207" s="225"/>
      <c r="G207" s="225"/>
      <c r="H207" s="225"/>
    </row>
    <row r="208" spans="1:8" ht="15.75" x14ac:dyDescent="0.25">
      <c r="A208" s="226"/>
      <c r="B208" s="226"/>
      <c r="C208" s="225" t="s">
        <v>386</v>
      </c>
      <c r="D208" s="792">
        <v>400000</v>
      </c>
      <c r="E208" s="792"/>
      <c r="F208" s="225"/>
      <c r="G208" s="225"/>
      <c r="H208" s="225"/>
    </row>
    <row r="209" spans="1:8" ht="15.75" x14ac:dyDescent="0.25">
      <c r="A209" s="226"/>
      <c r="B209" s="226"/>
      <c r="C209" s="225" t="s">
        <v>388</v>
      </c>
      <c r="D209" s="792">
        <v>200000</v>
      </c>
      <c r="E209" s="792"/>
      <c r="F209" s="225"/>
      <c r="G209" s="225"/>
      <c r="H209" s="225"/>
    </row>
    <row r="210" spans="1:8" ht="15.75" x14ac:dyDescent="0.25">
      <c r="A210" s="226"/>
      <c r="B210" s="226"/>
      <c r="C210" s="225" t="s">
        <v>389</v>
      </c>
      <c r="D210" s="792">
        <v>100000</v>
      </c>
      <c r="E210" s="792"/>
      <c r="F210" s="225"/>
      <c r="G210" s="225"/>
      <c r="H210" s="225"/>
    </row>
  </sheetData>
  <mergeCells count="3">
    <mergeCell ref="D4:E4"/>
    <mergeCell ref="G4:H4"/>
    <mergeCell ref="F9:F11"/>
  </mergeCells>
  <conditionalFormatting sqref="C87:C110">
    <cfRule type="expression" dxfId="0" priority="1">
      <formula>"="</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51"/>
  <sheetViews>
    <sheetView topLeftCell="A451" zoomScaleNormal="100" workbookViewId="0">
      <selection activeCell="H415" sqref="H415"/>
    </sheetView>
  </sheetViews>
  <sheetFormatPr defaultRowHeight="15" x14ac:dyDescent="0.25"/>
  <cols>
    <col min="1" max="1" width="21.140625" customWidth="1"/>
    <col min="2" max="2" width="28.140625" customWidth="1"/>
    <col min="3" max="3" width="19.7109375" customWidth="1"/>
    <col min="4" max="4" width="17.28515625" customWidth="1"/>
    <col min="5" max="5" width="15.7109375" customWidth="1"/>
    <col min="6" max="6" width="12.42578125" customWidth="1"/>
    <col min="7" max="9" width="12.85546875" customWidth="1"/>
    <col min="10" max="10" width="13.42578125" customWidth="1"/>
    <col min="11" max="11" width="12.42578125" customWidth="1"/>
    <col min="12" max="12" width="9.5703125" customWidth="1"/>
    <col min="13" max="13" width="8.140625" customWidth="1"/>
    <col min="14" max="14" width="13.85546875" customWidth="1"/>
    <col min="15" max="15" width="10.28515625" bestFit="1" customWidth="1"/>
    <col min="16" max="16" width="13.7109375" customWidth="1"/>
    <col min="18" max="18" width="20.85546875" customWidth="1"/>
    <col min="19" max="19" width="12.28515625" customWidth="1"/>
    <col min="21" max="16384" width="9.140625" style="6"/>
  </cols>
  <sheetData>
    <row r="1" spans="1:20" ht="18" x14ac:dyDescent="0.25">
      <c r="A1" s="961" t="s">
        <v>23</v>
      </c>
      <c r="B1" s="961"/>
      <c r="C1" s="961"/>
      <c r="D1" s="961"/>
      <c r="E1" s="961"/>
      <c r="F1" s="961"/>
      <c r="G1" s="961"/>
      <c r="H1" s="961"/>
      <c r="I1" s="961"/>
      <c r="J1" s="6"/>
      <c r="K1" s="6"/>
      <c r="L1" s="6"/>
      <c r="M1" s="6"/>
      <c r="N1" s="6"/>
      <c r="O1" s="6"/>
      <c r="P1" s="6"/>
      <c r="Q1" s="6"/>
      <c r="R1" s="6"/>
      <c r="S1" s="6"/>
      <c r="T1" s="6"/>
    </row>
    <row r="2" spans="1:20" ht="15.75" x14ac:dyDescent="0.25">
      <c r="A2" s="962" t="s">
        <v>926</v>
      </c>
      <c r="B2" s="962"/>
      <c r="C2" s="962"/>
      <c r="D2" s="962"/>
      <c r="E2" s="962"/>
      <c r="F2" s="962"/>
      <c r="G2" s="962"/>
      <c r="H2" s="962"/>
      <c r="I2" s="962"/>
      <c r="J2" s="6"/>
      <c r="K2" s="6"/>
      <c r="L2" s="6"/>
      <c r="M2" s="6"/>
      <c r="N2" s="6"/>
      <c r="O2" s="6"/>
      <c r="P2" s="6"/>
      <c r="Q2" s="6"/>
      <c r="R2" s="6"/>
      <c r="S2" s="6"/>
      <c r="T2" s="6"/>
    </row>
    <row r="3" spans="1:20" ht="60" x14ac:dyDescent="0.25">
      <c r="A3" s="238" t="s">
        <v>24</v>
      </c>
      <c r="B3" s="377" t="s">
        <v>588</v>
      </c>
      <c r="C3" s="238" t="s">
        <v>25</v>
      </c>
      <c r="D3" s="239">
        <v>1</v>
      </c>
      <c r="E3" s="238" t="s">
        <v>26</v>
      </c>
      <c r="F3" s="240" t="str">
        <f>IF(H9&gt;300,"A",IF(H9&gt;100,"B","C"))</f>
        <v>C</v>
      </c>
      <c r="G3" s="241" t="s">
        <v>463</v>
      </c>
      <c r="H3" s="963"/>
      <c r="I3" s="963"/>
      <c r="J3" s="6"/>
      <c r="K3" s="6"/>
      <c r="L3" s="6"/>
      <c r="M3" s="6"/>
      <c r="N3" s="6"/>
      <c r="O3" s="6"/>
      <c r="P3" s="6"/>
      <c r="Q3" s="6"/>
      <c r="R3" s="6"/>
      <c r="S3" s="6"/>
      <c r="T3" s="6"/>
    </row>
    <row r="4" spans="1:20" x14ac:dyDescent="0.25">
      <c r="A4" s="964" t="s">
        <v>27</v>
      </c>
      <c r="B4" s="965" t="s">
        <v>570</v>
      </c>
      <c r="C4" s="242" t="s">
        <v>464</v>
      </c>
      <c r="D4" s="8" t="s">
        <v>465</v>
      </c>
      <c r="E4" s="8" t="s">
        <v>29</v>
      </c>
      <c r="F4" s="8" t="s">
        <v>569</v>
      </c>
      <c r="G4" s="8" t="s">
        <v>466</v>
      </c>
      <c r="H4" s="8" t="s">
        <v>467</v>
      </c>
      <c r="I4" s="8" t="s">
        <v>468</v>
      </c>
      <c r="J4" s="6"/>
      <c r="K4" s="6"/>
      <c r="L4" s="6"/>
      <c r="M4" s="6"/>
      <c r="N4" s="6"/>
      <c r="O4" s="6"/>
      <c r="P4" s="6"/>
      <c r="Q4" s="6"/>
      <c r="R4" s="6"/>
      <c r="S4" s="6"/>
      <c r="T4" s="6"/>
    </row>
    <row r="5" spans="1:20" s="9" customFormat="1" ht="15.75" customHeight="1" x14ac:dyDescent="0.25">
      <c r="A5" s="964"/>
      <c r="B5" s="965"/>
      <c r="C5" s="243" t="s">
        <v>469</v>
      </c>
      <c r="D5" s="447">
        <v>0</v>
      </c>
      <c r="E5" s="447">
        <v>0</v>
      </c>
      <c r="F5" s="447"/>
      <c r="G5" s="447">
        <v>0</v>
      </c>
      <c r="H5" s="447">
        <v>0</v>
      </c>
      <c r="I5" s="447">
        <v>0</v>
      </c>
    </row>
    <row r="6" spans="1:20" s="9" customFormat="1" ht="16.5" thickBot="1" x14ac:dyDescent="0.3">
      <c r="A6" s="244"/>
      <c r="B6" s="245"/>
      <c r="C6" s="246"/>
      <c r="D6" s="247"/>
      <c r="E6" s="247"/>
      <c r="F6" s="247"/>
      <c r="G6" s="247"/>
      <c r="H6" s="247"/>
      <c r="I6" s="247"/>
    </row>
    <row r="7" spans="1:20" ht="18" x14ac:dyDescent="0.25">
      <c r="A7" s="966" t="s">
        <v>653</v>
      </c>
      <c r="B7" s="967"/>
      <c r="C7" s="967"/>
      <c r="D7" s="967"/>
      <c r="E7" s="967"/>
      <c r="F7" s="967"/>
      <c r="G7" s="967"/>
      <c r="H7" s="967"/>
      <c r="I7" s="968"/>
      <c r="J7" s="6"/>
      <c r="K7" s="6"/>
      <c r="L7" s="6"/>
      <c r="M7" s="6"/>
      <c r="N7" s="6"/>
      <c r="O7" s="6"/>
      <c r="P7" s="6"/>
      <c r="Q7" s="6"/>
      <c r="R7" s="6"/>
      <c r="S7" s="6"/>
      <c r="T7" s="6"/>
    </row>
    <row r="8" spans="1:20" x14ac:dyDescent="0.25">
      <c r="A8" s="248"/>
      <c r="B8" s="10"/>
      <c r="C8" s="10"/>
      <c r="D8" s="10"/>
      <c r="E8" s="10"/>
      <c r="F8" s="10"/>
      <c r="G8" s="10"/>
      <c r="H8" s="10"/>
      <c r="I8" s="11"/>
      <c r="J8" s="6"/>
      <c r="K8" s="6"/>
      <c r="L8" s="6"/>
      <c r="M8" s="6"/>
      <c r="N8" s="6"/>
      <c r="O8" s="6"/>
      <c r="P8" s="6"/>
      <c r="Q8" s="6"/>
      <c r="R8" s="6"/>
      <c r="S8" s="6"/>
      <c r="T8" s="6"/>
    </row>
    <row r="9" spans="1:20" x14ac:dyDescent="0.25">
      <c r="A9" s="249">
        <v>1</v>
      </c>
      <c r="B9" s="957" t="s">
        <v>470</v>
      </c>
      <c r="C9" s="957"/>
      <c r="D9" s="957"/>
      <c r="E9" s="957"/>
      <c r="F9" s="957"/>
      <c r="G9" s="957"/>
      <c r="H9" s="950"/>
      <c r="I9" s="951"/>
      <c r="J9" s="6"/>
      <c r="K9" s="6"/>
      <c r="L9" s="6"/>
      <c r="M9" s="6"/>
      <c r="N9" s="6"/>
      <c r="O9" s="6"/>
      <c r="P9" s="6"/>
      <c r="Q9" s="6"/>
      <c r="R9" s="6"/>
      <c r="S9" s="6"/>
      <c r="T9" s="6"/>
    </row>
    <row r="10" spans="1:20" x14ac:dyDescent="0.25">
      <c r="A10" s="249"/>
      <c r="B10" s="958" t="s">
        <v>30</v>
      </c>
      <c r="C10" s="959"/>
      <c r="D10" s="959"/>
      <c r="E10" s="959"/>
      <c r="F10" s="959"/>
      <c r="G10" s="960"/>
      <c r="H10" s="950"/>
      <c r="I10" s="951"/>
      <c r="J10" s="6"/>
      <c r="K10" s="6"/>
      <c r="L10" s="6"/>
      <c r="M10" s="6"/>
      <c r="N10" s="6"/>
      <c r="O10" s="6"/>
      <c r="P10" s="6"/>
      <c r="Q10" s="6"/>
      <c r="R10" s="6"/>
      <c r="S10" s="6"/>
      <c r="T10" s="6"/>
    </row>
    <row r="11" spans="1:20" x14ac:dyDescent="0.25">
      <c r="A11" s="249"/>
      <c r="B11" s="958" t="s">
        <v>31</v>
      </c>
      <c r="C11" s="959"/>
      <c r="D11" s="959"/>
      <c r="E11" s="959"/>
      <c r="F11" s="959"/>
      <c r="G11" s="960"/>
      <c r="H11" s="955"/>
      <c r="I11" s="956"/>
      <c r="J11" s="6"/>
      <c r="K11" s="6"/>
      <c r="L11" s="6"/>
      <c r="M11" s="6"/>
      <c r="N11" s="6"/>
      <c r="O11" s="6"/>
      <c r="P11" s="6"/>
      <c r="Q11" s="6"/>
      <c r="R11" s="6"/>
      <c r="S11" s="6"/>
      <c r="T11" s="6"/>
    </row>
    <row r="12" spans="1:20" x14ac:dyDescent="0.25">
      <c r="A12" s="249"/>
      <c r="B12" s="947" t="s">
        <v>32</v>
      </c>
      <c r="C12" s="948"/>
      <c r="D12" s="948"/>
      <c r="E12" s="948"/>
      <c r="F12" s="948"/>
      <c r="G12" s="949"/>
      <c r="H12" s="950"/>
      <c r="I12" s="951"/>
      <c r="J12" s="6"/>
      <c r="K12" s="6"/>
      <c r="L12" s="6"/>
      <c r="M12" s="6"/>
      <c r="N12" s="6"/>
      <c r="O12" s="6"/>
      <c r="P12" s="6"/>
      <c r="Q12" s="6"/>
      <c r="R12" s="6"/>
      <c r="S12" s="6"/>
      <c r="T12" s="6"/>
    </row>
    <row r="13" spans="1:20" x14ac:dyDescent="0.25">
      <c r="A13" s="249"/>
      <c r="B13" s="947" t="s">
        <v>914</v>
      </c>
      <c r="C13" s="948"/>
      <c r="D13" s="948"/>
      <c r="E13" s="948"/>
      <c r="F13" s="948"/>
      <c r="G13" s="949"/>
      <c r="H13" s="950"/>
      <c r="I13" s="951"/>
      <c r="J13" s="6"/>
      <c r="K13" s="6"/>
      <c r="L13" s="6"/>
      <c r="M13" s="6"/>
      <c r="N13" s="6"/>
      <c r="O13" s="6"/>
      <c r="P13" s="6"/>
      <c r="Q13" s="6"/>
      <c r="R13" s="6"/>
      <c r="S13" s="6"/>
      <c r="T13" s="6"/>
    </row>
    <row r="14" spans="1:20" ht="15.75" x14ac:dyDescent="0.25">
      <c r="A14" s="249"/>
      <c r="B14" s="952" t="s">
        <v>925</v>
      </c>
      <c r="C14" s="953"/>
      <c r="D14" s="953"/>
      <c r="E14" s="953"/>
      <c r="F14" s="953"/>
      <c r="G14" s="954"/>
      <c r="H14" s="955"/>
      <c r="I14" s="956"/>
      <c r="J14" s="6"/>
      <c r="K14" s="6"/>
      <c r="L14" s="6"/>
      <c r="M14" s="6"/>
      <c r="N14" s="6"/>
      <c r="O14" s="6"/>
      <c r="P14" s="6"/>
      <c r="Q14" s="6"/>
      <c r="R14" s="6"/>
      <c r="S14" s="6"/>
      <c r="T14" s="6"/>
    </row>
    <row r="15" spans="1:20" x14ac:dyDescent="0.25">
      <c r="A15" s="250">
        <v>2</v>
      </c>
      <c r="B15" s="970" t="s">
        <v>34</v>
      </c>
      <c r="C15" s="970"/>
      <c r="D15" s="970"/>
      <c r="E15" s="970"/>
      <c r="F15" s="970"/>
      <c r="G15" s="970"/>
      <c r="H15" s="973"/>
      <c r="I15" s="974"/>
      <c r="J15" s="6"/>
      <c r="K15" s="6"/>
      <c r="L15" s="6"/>
      <c r="M15" s="6"/>
      <c r="N15" s="6"/>
      <c r="O15" s="6"/>
      <c r="P15" s="6"/>
      <c r="Q15" s="6"/>
      <c r="R15" s="6"/>
      <c r="S15" s="6"/>
      <c r="T15" s="6"/>
    </row>
    <row r="16" spans="1:20" ht="15.75" thickBot="1" x14ac:dyDescent="0.3">
      <c r="A16" s="250">
        <v>3</v>
      </c>
      <c r="B16" s="970" t="s">
        <v>35</v>
      </c>
      <c r="C16" s="970"/>
      <c r="D16" s="970"/>
      <c r="E16" s="970"/>
      <c r="F16" s="970"/>
      <c r="G16" s="970"/>
      <c r="H16" s="973"/>
      <c r="I16" s="974"/>
      <c r="J16" s="6"/>
      <c r="K16" s="6"/>
      <c r="L16" s="6"/>
      <c r="M16" s="6"/>
      <c r="N16" s="6"/>
      <c r="O16" s="6"/>
      <c r="P16" s="6"/>
      <c r="Q16" s="6"/>
      <c r="R16" s="6"/>
      <c r="S16" s="6"/>
      <c r="T16" s="6"/>
    </row>
    <row r="17" spans="1:21" ht="51.75" customHeight="1" thickBot="1" x14ac:dyDescent="0.3">
      <c r="A17" s="251">
        <v>4</v>
      </c>
      <c r="B17" s="975" t="s">
        <v>524</v>
      </c>
      <c r="C17" s="975"/>
      <c r="D17" s="975"/>
      <c r="E17" s="975"/>
      <c r="F17" s="975"/>
      <c r="G17" s="975"/>
      <c r="H17" s="978"/>
      <c r="I17" s="979"/>
      <c r="J17" s="6"/>
      <c r="K17" s="6"/>
      <c r="L17" s="6"/>
      <c r="M17" s="989" t="s">
        <v>862</v>
      </c>
      <c r="N17" s="990"/>
      <c r="O17" s="990"/>
      <c r="P17" s="991"/>
      <c r="Q17" s="995" t="s">
        <v>850</v>
      </c>
      <c r="R17" s="996"/>
      <c r="S17" s="912" t="s">
        <v>851</v>
      </c>
      <c r="T17" s="6"/>
    </row>
    <row r="18" spans="1:21" ht="33" customHeight="1" thickBot="1" x14ac:dyDescent="0.3">
      <c r="A18" s="251">
        <v>5</v>
      </c>
      <c r="B18" s="975" t="s">
        <v>207</v>
      </c>
      <c r="C18" s="975"/>
      <c r="D18" s="975"/>
      <c r="E18" s="975"/>
      <c r="F18" s="975"/>
      <c r="G18" s="975"/>
      <c r="H18" s="976"/>
      <c r="I18" s="977"/>
      <c r="J18" s="6"/>
      <c r="K18" s="6"/>
      <c r="L18" s="6"/>
      <c r="M18" s="992"/>
      <c r="N18" s="993"/>
      <c r="O18" s="993"/>
      <c r="P18" s="994"/>
      <c r="Q18" s="803">
        <v>2013</v>
      </c>
      <c r="R18" s="803" t="s">
        <v>928</v>
      </c>
      <c r="S18" s="803">
        <v>2015</v>
      </c>
      <c r="T18" s="6"/>
    </row>
    <row r="19" spans="1:21" ht="45.75" thickBot="1" x14ac:dyDescent="0.3">
      <c r="A19" s="971"/>
      <c r="B19" s="972"/>
      <c r="C19" s="972"/>
      <c r="D19" s="972"/>
      <c r="E19" s="972"/>
      <c r="F19" s="972"/>
      <c r="G19" s="972"/>
      <c r="H19" s="449" t="s">
        <v>654</v>
      </c>
      <c r="I19" s="714" t="s">
        <v>927</v>
      </c>
      <c r="J19" s="6"/>
      <c r="K19" s="607" t="s">
        <v>841</v>
      </c>
      <c r="L19" s="601"/>
      <c r="M19" s="601"/>
      <c r="N19" s="602"/>
      <c r="O19" s="613"/>
      <c r="P19" s="613"/>
      <c r="Q19" s="613"/>
      <c r="R19" s="613"/>
      <c r="S19" s="614"/>
      <c r="T19" s="6"/>
    </row>
    <row r="20" spans="1:21" x14ac:dyDescent="0.25">
      <c r="A20" s="971" t="s">
        <v>471</v>
      </c>
      <c r="B20" s="972"/>
      <c r="C20" s="972"/>
      <c r="D20" s="972"/>
      <c r="E20" s="972"/>
      <c r="F20" s="972"/>
      <c r="G20" s="972"/>
      <c r="H20" s="379"/>
      <c r="I20" s="379"/>
      <c r="J20" s="6"/>
      <c r="K20" s="607" t="s">
        <v>842</v>
      </c>
      <c r="L20" s="601"/>
      <c r="M20" s="601"/>
      <c r="N20" s="602"/>
      <c r="O20" s="613"/>
      <c r="P20" s="613"/>
      <c r="Q20" s="613"/>
      <c r="R20" s="613"/>
      <c r="S20" s="614"/>
      <c r="T20" s="6"/>
    </row>
    <row r="21" spans="1:21" x14ac:dyDescent="0.25">
      <c r="A21" s="969" t="s">
        <v>655</v>
      </c>
      <c r="B21" s="970"/>
      <c r="C21" s="970"/>
      <c r="D21" s="970"/>
      <c r="E21" s="970"/>
      <c r="F21" s="970"/>
      <c r="G21" s="970"/>
      <c r="H21" s="379"/>
      <c r="I21" s="379"/>
      <c r="J21" s="6"/>
      <c r="K21" s="608" t="s">
        <v>844</v>
      </c>
      <c r="L21" s="603"/>
      <c r="M21" s="603"/>
      <c r="N21" s="604"/>
      <c r="O21" s="564"/>
      <c r="P21" s="564"/>
      <c r="Q21" s="479"/>
      <c r="R21" s="479"/>
      <c r="S21" s="614"/>
      <c r="T21" s="6"/>
    </row>
    <row r="22" spans="1:21" x14ac:dyDescent="0.25">
      <c r="A22" s="969" t="s">
        <v>915</v>
      </c>
      <c r="B22" s="970"/>
      <c r="C22" s="970"/>
      <c r="D22" s="970"/>
      <c r="E22" s="970"/>
      <c r="F22" s="970"/>
      <c r="G22" s="970"/>
      <c r="H22" s="815"/>
      <c r="I22" s="815"/>
      <c r="J22" s="6"/>
      <c r="K22" s="608" t="s">
        <v>859</v>
      </c>
      <c r="L22" s="603"/>
      <c r="M22" s="603"/>
      <c r="N22" s="604"/>
      <c r="O22" s="564"/>
      <c r="P22" s="564"/>
      <c r="Q22" s="479"/>
      <c r="R22" s="479"/>
      <c r="S22" s="614"/>
      <c r="T22" s="6"/>
    </row>
    <row r="23" spans="1:21" x14ac:dyDescent="0.25">
      <c r="A23" s="969" t="s">
        <v>916</v>
      </c>
      <c r="B23" s="970"/>
      <c r="C23" s="970"/>
      <c r="D23" s="970"/>
      <c r="E23" s="970"/>
      <c r="F23" s="970"/>
      <c r="G23" s="970"/>
      <c r="H23" s="815"/>
      <c r="I23" s="815"/>
      <c r="J23" s="6"/>
      <c r="K23" s="608" t="s">
        <v>860</v>
      </c>
      <c r="L23" s="603"/>
      <c r="M23" s="603"/>
      <c r="N23" s="604"/>
      <c r="O23" s="564"/>
      <c r="P23" s="564"/>
      <c r="Q23" s="479"/>
      <c r="R23" s="479"/>
      <c r="S23" s="614"/>
      <c r="T23" s="6"/>
    </row>
    <row r="24" spans="1:21" x14ac:dyDescent="0.25">
      <c r="A24" s="969" t="s">
        <v>900</v>
      </c>
      <c r="B24" s="970"/>
      <c r="C24" s="970"/>
      <c r="D24" s="970"/>
      <c r="E24" s="970"/>
      <c r="F24" s="970"/>
      <c r="G24" s="970"/>
      <c r="H24" s="379"/>
      <c r="I24" s="379"/>
      <c r="J24" s="6"/>
      <c r="K24" s="609" t="s">
        <v>843</v>
      </c>
      <c r="L24" s="603"/>
      <c r="M24" s="603"/>
      <c r="N24" s="604"/>
      <c r="O24" s="565"/>
      <c r="P24" s="565"/>
      <c r="Q24" s="479"/>
      <c r="R24" s="479"/>
      <c r="S24" s="614"/>
      <c r="T24" s="6"/>
    </row>
    <row r="25" spans="1:21" x14ac:dyDescent="0.25">
      <c r="A25" s="969" t="s">
        <v>901</v>
      </c>
      <c r="B25" s="970"/>
      <c r="C25" s="970"/>
      <c r="D25" s="970"/>
      <c r="E25" s="970"/>
      <c r="F25" s="970"/>
      <c r="G25" s="970"/>
      <c r="H25" s="379"/>
      <c r="I25" s="379"/>
      <c r="J25" s="6"/>
      <c r="K25" s="609" t="s">
        <v>845</v>
      </c>
      <c r="L25" s="603"/>
      <c r="M25" s="603"/>
      <c r="N25" s="604"/>
      <c r="O25" s="565"/>
      <c r="P25" s="565"/>
      <c r="Q25" s="479"/>
      <c r="R25" s="479"/>
      <c r="S25" s="614"/>
      <c r="T25" s="6"/>
    </row>
    <row r="26" spans="1:21" x14ac:dyDescent="0.25">
      <c r="A26" s="969" t="s">
        <v>902</v>
      </c>
      <c r="B26" s="970"/>
      <c r="C26" s="970"/>
      <c r="D26" s="970"/>
      <c r="E26" s="970"/>
      <c r="F26" s="970"/>
      <c r="G26" s="970"/>
      <c r="H26" s="379"/>
      <c r="I26" s="379"/>
      <c r="J26" s="6"/>
      <c r="K26" s="609" t="s">
        <v>848</v>
      </c>
      <c r="L26" s="605"/>
      <c r="M26" s="605"/>
      <c r="N26" s="606"/>
      <c r="O26" s="565"/>
      <c r="P26" s="565"/>
      <c r="Q26" s="479"/>
      <c r="R26" s="479"/>
      <c r="S26" s="614"/>
      <c r="T26" s="6"/>
    </row>
    <row r="27" spans="1:21" x14ac:dyDescent="0.25">
      <c r="A27" s="969" t="s">
        <v>903</v>
      </c>
      <c r="B27" s="970"/>
      <c r="C27" s="970"/>
      <c r="D27" s="970"/>
      <c r="E27" s="970"/>
      <c r="F27" s="970"/>
      <c r="G27" s="970"/>
      <c r="H27" s="801"/>
      <c r="I27" s="801"/>
      <c r="J27" s="6"/>
      <c r="K27" s="608" t="s">
        <v>846</v>
      </c>
      <c r="L27" s="605"/>
      <c r="M27" s="605"/>
      <c r="N27" s="606"/>
      <c r="O27" s="565"/>
      <c r="P27" s="565"/>
      <c r="Q27" s="479"/>
      <c r="R27" s="479"/>
      <c r="S27" s="614"/>
      <c r="T27" s="6"/>
    </row>
    <row r="28" spans="1:21" x14ac:dyDescent="0.25">
      <c r="A28" s="969" t="s">
        <v>906</v>
      </c>
      <c r="B28" s="970"/>
      <c r="C28" s="970"/>
      <c r="D28" s="970"/>
      <c r="E28" s="970"/>
      <c r="F28" s="970"/>
      <c r="G28" s="970"/>
      <c r="H28" s="379"/>
      <c r="I28" s="379"/>
      <c r="K28" s="608" t="s">
        <v>847</v>
      </c>
      <c r="L28" s="605"/>
      <c r="M28" s="605"/>
      <c r="N28" s="606"/>
      <c r="O28" s="565"/>
      <c r="P28" s="565"/>
      <c r="Q28" s="479"/>
      <c r="R28" s="479"/>
      <c r="S28" s="614"/>
      <c r="T28" s="6"/>
    </row>
    <row r="29" spans="1:21" ht="15.75" thickBot="1" x14ac:dyDescent="0.3">
      <c r="A29" s="1009" t="s">
        <v>905</v>
      </c>
      <c r="B29" s="1010"/>
      <c r="C29" s="1010"/>
      <c r="D29" s="1010"/>
      <c r="E29" s="1010"/>
      <c r="F29" s="1010"/>
      <c r="G29" s="1010"/>
      <c r="H29" s="379"/>
      <c r="I29" s="379"/>
      <c r="K29" s="832" t="s">
        <v>849</v>
      </c>
      <c r="L29" s="816"/>
      <c r="M29" s="816"/>
      <c r="N29" s="816"/>
      <c r="O29" s="565"/>
      <c r="P29" s="565"/>
      <c r="Q29" s="479"/>
      <c r="R29" s="479"/>
      <c r="S29" s="613"/>
      <c r="T29" s="6"/>
    </row>
    <row r="30" spans="1:21" x14ac:dyDescent="0.25">
      <c r="A30" s="969" t="s">
        <v>904</v>
      </c>
      <c r="B30" s="970"/>
      <c r="C30" s="970"/>
      <c r="D30" s="970"/>
      <c r="E30" s="970"/>
      <c r="F30" s="970"/>
      <c r="G30" s="970"/>
      <c r="H30" s="379"/>
      <c r="I30" s="379"/>
      <c r="K30" s="9"/>
      <c r="L30" s="833"/>
      <c r="M30" s="833"/>
      <c r="N30" s="833"/>
      <c r="O30" s="834"/>
      <c r="P30" s="834"/>
      <c r="Q30" s="835"/>
      <c r="R30" s="835"/>
      <c r="S30" s="836"/>
      <c r="T30" s="6"/>
    </row>
    <row r="31" spans="1:21" x14ac:dyDescent="0.25">
      <c r="M31" s="9"/>
      <c r="N31" s="837"/>
      <c r="O31" s="837"/>
      <c r="P31" s="837"/>
      <c r="Q31" s="834"/>
      <c r="R31" s="834"/>
      <c r="S31" s="835"/>
      <c r="T31" s="835"/>
      <c r="U31" s="836"/>
    </row>
    <row r="32" spans="1:21" x14ac:dyDescent="0.25">
      <c r="M32" s="101"/>
      <c r="N32" s="101"/>
      <c r="O32" s="101"/>
      <c r="P32" s="101"/>
      <c r="Q32" s="101"/>
      <c r="R32" s="101"/>
      <c r="S32" s="101"/>
      <c r="T32" s="101"/>
      <c r="U32" s="9"/>
    </row>
    <row r="33" spans="1:20" ht="31.5" customHeight="1" x14ac:dyDescent="0.25">
      <c r="A33" s="980" t="s">
        <v>37</v>
      </c>
      <c r="B33" s="981"/>
      <c r="C33" s="981"/>
      <c r="D33" s="981"/>
      <c r="E33" s="981"/>
      <c r="F33" s="981"/>
      <c r="G33" s="981"/>
      <c r="H33" s="981"/>
      <c r="I33" s="981"/>
      <c r="J33" s="981"/>
      <c r="K33" s="981"/>
      <c r="L33" s="981"/>
      <c r="M33" s="981"/>
      <c r="N33" s="981"/>
      <c r="O33" s="981"/>
      <c r="P33" s="981"/>
      <c r="Q33" s="981"/>
      <c r="R33" s="12"/>
    </row>
    <row r="34" spans="1:20" ht="15.75" thickBot="1" x14ac:dyDescent="0.3"/>
    <row r="35" spans="1:20" ht="18" x14ac:dyDescent="0.25">
      <c r="A35" s="982" t="s">
        <v>257</v>
      </c>
      <c r="B35" s="983"/>
      <c r="C35" s="983"/>
      <c r="D35" s="983"/>
      <c r="E35" s="983"/>
      <c r="F35" s="983"/>
      <c r="G35" s="983"/>
      <c r="H35" s="984"/>
      <c r="I35" s="985" t="s">
        <v>38</v>
      </c>
      <c r="J35" s="985"/>
      <c r="K35" s="985"/>
      <c r="L35" s="985"/>
      <c r="M35" s="985"/>
      <c r="N35" s="986" t="s">
        <v>39</v>
      </c>
      <c r="O35" s="987"/>
      <c r="P35" s="987"/>
      <c r="Q35" s="988"/>
      <c r="R35" s="6"/>
      <c r="S35" s="6"/>
      <c r="T35" s="6"/>
    </row>
    <row r="36" spans="1:20" ht="15" customHeight="1" x14ac:dyDescent="0.25">
      <c r="A36" s="252"/>
      <c r="B36" s="6"/>
      <c r="C36" s="6"/>
      <c r="D36" s="13"/>
      <c r="E36" s="13"/>
      <c r="F36" s="13"/>
      <c r="G36" s="13"/>
      <c r="H36" s="13"/>
      <c r="I36" s="997" t="s">
        <v>40</v>
      </c>
      <c r="J36" s="998"/>
      <c r="K36" s="999"/>
      <c r="L36" s="997"/>
      <c r="M36" s="999"/>
      <c r="N36" s="1000"/>
      <c r="O36" s="1000"/>
      <c r="P36" s="1000"/>
      <c r="Q36" s="1001"/>
      <c r="R36" s="6"/>
      <c r="S36" s="6"/>
      <c r="T36" s="6"/>
    </row>
    <row r="37" spans="1:20" s="14" customFormat="1" ht="25.5" customHeight="1" x14ac:dyDescent="0.25">
      <c r="A37" s="1005" t="s">
        <v>42</v>
      </c>
      <c r="B37" s="1006"/>
      <c r="C37" s="1007" t="s">
        <v>472</v>
      </c>
      <c r="D37" s="1008" t="s">
        <v>43</v>
      </c>
      <c r="E37" s="1008" t="s">
        <v>929</v>
      </c>
      <c r="F37" s="1022" t="s">
        <v>44</v>
      </c>
      <c r="G37" s="1023"/>
      <c r="H37" s="1024"/>
      <c r="I37" s="1025" t="s">
        <v>45</v>
      </c>
      <c r="J37" s="1025" t="s">
        <v>46</v>
      </c>
      <c r="K37" s="1025" t="s">
        <v>2</v>
      </c>
      <c r="L37" s="1025"/>
      <c r="M37" s="1017"/>
      <c r="N37" s="1002"/>
      <c r="O37" s="1002"/>
      <c r="P37" s="1002"/>
      <c r="Q37" s="1003"/>
    </row>
    <row r="38" spans="1:20" s="14" customFormat="1" ht="38.25" customHeight="1" x14ac:dyDescent="0.25">
      <c r="A38" s="1005"/>
      <c r="B38" s="1006"/>
      <c r="C38" s="1007"/>
      <c r="D38" s="1008"/>
      <c r="E38" s="1008"/>
      <c r="F38" s="16" t="s">
        <v>45</v>
      </c>
      <c r="G38" s="16" t="s">
        <v>46</v>
      </c>
      <c r="H38" s="187" t="s">
        <v>2</v>
      </c>
      <c r="I38" s="1026"/>
      <c r="J38" s="1026"/>
      <c r="K38" s="1026"/>
      <c r="L38" s="1026"/>
      <c r="M38" s="1018"/>
      <c r="N38" s="1002"/>
      <c r="O38" s="1002"/>
      <c r="P38" s="1002"/>
      <c r="Q38" s="1003"/>
    </row>
    <row r="39" spans="1:20" s="14" customFormat="1" x14ac:dyDescent="0.25">
      <c r="A39" s="1011" t="s">
        <v>473</v>
      </c>
      <c r="B39" s="1012"/>
      <c r="C39" s="441">
        <v>1</v>
      </c>
      <c r="D39" s="419">
        <v>1</v>
      </c>
      <c r="E39" s="419">
        <v>0</v>
      </c>
      <c r="F39" s="419"/>
      <c r="G39" s="419"/>
      <c r="H39" s="376">
        <f>SUM(F39:G39)</f>
        <v>0</v>
      </c>
      <c r="I39" s="19">
        <f>E39*500000</f>
        <v>0</v>
      </c>
      <c r="J39" s="448">
        <f>D39*100000</f>
        <v>100000</v>
      </c>
      <c r="K39" s="1019">
        <f>SUM(I39:I41,J39)</f>
        <v>1100000</v>
      </c>
      <c r="L39" s="253"/>
      <c r="M39" s="22"/>
      <c r="N39" s="1002"/>
      <c r="O39" s="1002"/>
      <c r="P39" s="1002"/>
      <c r="Q39" s="1003"/>
    </row>
    <row r="40" spans="1:20" s="14" customFormat="1" x14ac:dyDescent="0.25">
      <c r="A40" s="1011" t="s">
        <v>474</v>
      </c>
      <c r="B40" s="1012"/>
      <c r="C40" s="441">
        <v>2</v>
      </c>
      <c r="D40" s="419">
        <v>2</v>
      </c>
      <c r="E40" s="419">
        <v>2</v>
      </c>
      <c r="F40" s="419"/>
      <c r="G40" s="419"/>
      <c r="H40" s="376">
        <f>SUM(F40:G40)</f>
        <v>0</v>
      </c>
      <c r="I40" s="19">
        <f>E40*500000</f>
        <v>1000000</v>
      </c>
      <c r="J40" s="448">
        <f>D40*100000</f>
        <v>200000</v>
      </c>
      <c r="K40" s="1020"/>
      <c r="L40" s="253"/>
      <c r="M40" s="22"/>
      <c r="N40" s="1002"/>
      <c r="O40" s="1002"/>
      <c r="P40" s="1002"/>
      <c r="Q40" s="1003"/>
    </row>
    <row r="41" spans="1:20" s="14" customFormat="1" x14ac:dyDescent="0.25">
      <c r="A41" s="1011" t="s">
        <v>394</v>
      </c>
      <c r="B41" s="1012"/>
      <c r="C41" s="441">
        <v>1</v>
      </c>
      <c r="D41" s="419">
        <v>1</v>
      </c>
      <c r="E41" s="419">
        <v>0</v>
      </c>
      <c r="F41" s="419"/>
      <c r="G41" s="419"/>
      <c r="H41" s="376">
        <f>SUM(F41:G41)</f>
        <v>0</v>
      </c>
      <c r="I41" s="19">
        <f>E41*2000000+E41*1000000</f>
        <v>0</v>
      </c>
      <c r="J41" s="448">
        <f>D41*100000</f>
        <v>100000</v>
      </c>
      <c r="K41" s="1021"/>
      <c r="L41" s="253"/>
      <c r="M41" s="22"/>
      <c r="N41" s="1002"/>
      <c r="O41" s="1002"/>
      <c r="P41" s="1002"/>
      <c r="Q41" s="1003"/>
    </row>
    <row r="42" spans="1:20" s="14" customFormat="1" x14ac:dyDescent="0.25">
      <c r="A42" s="1011" t="s">
        <v>393</v>
      </c>
      <c r="B42" s="1012"/>
      <c r="C42" s="441">
        <v>1</v>
      </c>
      <c r="D42" s="419">
        <v>1</v>
      </c>
      <c r="E42" s="419">
        <v>0</v>
      </c>
      <c r="F42" s="419"/>
      <c r="G42" s="419"/>
      <c r="H42" s="376">
        <f>SUM(F42:G42)</f>
        <v>0</v>
      </c>
      <c r="I42" s="19">
        <f>E42*100000</f>
        <v>0</v>
      </c>
      <c r="J42" s="20">
        <f>D42*50000</f>
        <v>50000</v>
      </c>
      <c r="K42" s="21">
        <f>SUM(I42:J42)</f>
        <v>50000</v>
      </c>
      <c r="L42" s="253"/>
      <c r="M42" s="22"/>
      <c r="N42" s="1002"/>
      <c r="O42" s="1002"/>
      <c r="P42" s="1002"/>
      <c r="Q42" s="1003"/>
    </row>
    <row r="43" spans="1:20" s="14" customFormat="1" ht="15.75" customHeight="1" x14ac:dyDescent="0.25">
      <c r="A43" s="1011" t="s">
        <v>49</v>
      </c>
      <c r="B43" s="1012"/>
      <c r="C43" s="441">
        <v>1</v>
      </c>
      <c r="D43" s="419">
        <v>1</v>
      </c>
      <c r="E43" s="419">
        <v>0</v>
      </c>
      <c r="F43" s="419"/>
      <c r="G43" s="419"/>
      <c r="H43" s="376">
        <f>F43+G43</f>
        <v>0</v>
      </c>
      <c r="I43" s="19">
        <f>E43*2500000</f>
        <v>0</v>
      </c>
      <c r="J43" s="20">
        <f>(D43+E43)*50000</f>
        <v>50000</v>
      </c>
      <c r="K43" s="21">
        <f>(I43+J43)*$D$3</f>
        <v>50000</v>
      </c>
      <c r="L43" s="253"/>
      <c r="M43" s="22"/>
      <c r="N43" s="1002"/>
      <c r="O43" s="1002"/>
      <c r="P43" s="1002"/>
      <c r="Q43" s="1003"/>
    </row>
    <row r="44" spans="1:20" x14ac:dyDescent="0.25">
      <c r="A44" s="1011" t="s">
        <v>50</v>
      </c>
      <c r="B44" s="1012"/>
      <c r="C44" s="380">
        <v>1</v>
      </c>
      <c r="D44" s="419">
        <v>1</v>
      </c>
      <c r="E44" s="419">
        <v>0</v>
      </c>
      <c r="F44" s="419"/>
      <c r="G44" s="419"/>
      <c r="H44" s="376">
        <f>F44+G44</f>
        <v>0</v>
      </c>
      <c r="I44" s="19">
        <f>E44*1500000</f>
        <v>0</v>
      </c>
      <c r="J44" s="20">
        <f>(D44+E44)*150000</f>
        <v>150000</v>
      </c>
      <c r="K44" s="8">
        <f>(I44+J44)*$D$3</f>
        <v>150000</v>
      </c>
      <c r="L44" s="253"/>
      <c r="M44" s="254"/>
      <c r="N44" s="1002"/>
      <c r="O44" s="1002"/>
      <c r="P44" s="1002"/>
      <c r="Q44" s="1003"/>
      <c r="R44" s="6"/>
      <c r="S44" s="6"/>
      <c r="T44" s="6"/>
    </row>
    <row r="45" spans="1:20" x14ac:dyDescent="0.25">
      <c r="A45" s="1013" t="s">
        <v>475</v>
      </c>
      <c r="B45" s="1014"/>
      <c r="C45" s="24"/>
      <c r="D45" s="25"/>
      <c r="E45" s="25"/>
      <c r="F45" s="25"/>
      <c r="G45" s="25"/>
      <c r="H45" s="27"/>
      <c r="I45" s="255"/>
      <c r="J45" s="255"/>
      <c r="K45" s="28"/>
      <c r="L45" s="256"/>
      <c r="M45" s="257"/>
      <c r="N45" s="1002"/>
      <c r="O45" s="1002"/>
      <c r="P45" s="1002"/>
      <c r="Q45" s="1003"/>
      <c r="R45" s="6"/>
      <c r="S45" s="6"/>
      <c r="T45" s="6"/>
    </row>
    <row r="46" spans="1:20" x14ac:dyDescent="0.25">
      <c r="A46" s="163" t="s">
        <v>202</v>
      </c>
      <c r="B46" s="160" t="s">
        <v>57</v>
      </c>
      <c r="C46" s="380"/>
      <c r="D46" s="160"/>
      <c r="E46" s="160"/>
      <c r="F46" s="160"/>
      <c r="G46" s="161"/>
      <c r="H46" s="18">
        <f>F46+G46</f>
        <v>0</v>
      </c>
      <c r="I46" s="8">
        <f>E46*(COUNTIF(B46,"Solid+Liquid+LPA")*6400000)+$D$3*E46*(COUNTIF(B46,"Solid")*1000000)+$D$3*E46*(COUNTIF(B46,"Liquid")*5000000)+$D$3*E46*(COUNTIF(B46,"LPA")*400000)+$D$3*E46*(COUNTIF(B46,"Solid+Liquid")*6000000)+$D$3*E46*(COUNTIF(B46,"Liquid+LPA")*5400000)+$D$3*E46*(COUNTIF(B46,"Solid+LPA")*1400000)</f>
        <v>0</v>
      </c>
      <c r="J46" s="8">
        <f>$D$3*D46*75000+$D$3*D46*(COUNTIF(B46,"Solid+Liquid+LPA")*75000)+$D$3*D46*(COUNTIF(B46,"Solid")*25000)+$D$3*D46*(COUNTIF(B46,"Liquid")*25000)+$D$3*D46*(COUNTIF(B46,"LPA")*25000)+$D$3*D46*(COUNTIF(B46,"Solid+Liquid")*50000)+$D$3*D46*(COUNTIF(B46,"Liquid+LPA")*50000)+$D$3*D46*(COUNTIF(B46,"Solid+LPA")*50000)</f>
        <v>0</v>
      </c>
      <c r="K46" s="8">
        <f>SUM(I46:J46)</f>
        <v>0</v>
      </c>
      <c r="L46" s="162"/>
      <c r="M46" s="212"/>
      <c r="N46" s="1002"/>
      <c r="O46" s="1002"/>
      <c r="P46" s="1002"/>
      <c r="Q46" s="1003"/>
      <c r="R46" s="6"/>
      <c r="S46" s="6"/>
      <c r="T46" s="6"/>
    </row>
    <row r="47" spans="1:20" x14ac:dyDescent="0.25">
      <c r="A47" s="163" t="s">
        <v>203</v>
      </c>
      <c r="B47" s="160" t="s">
        <v>206</v>
      </c>
      <c r="C47" s="380"/>
      <c r="D47" s="160"/>
      <c r="E47" s="160"/>
      <c r="F47" s="160"/>
      <c r="G47" s="161"/>
      <c r="H47" s="18">
        <f>F47+G47</f>
        <v>0</v>
      </c>
      <c r="I47" s="8">
        <f>E47*(COUNTIF(B47,"Solid+Liquid+LPA")*6400000)+$D$3*E47*(COUNTIF(B47,"Solid")*1000000)+$D$3*E47*(COUNTIF(B47,"Liquid")*5000000)+$D$3*E47*(COUNTIF(B47,"LPA")*400000)+$D$3*E47*(COUNTIF(B47,"Solid+Liquid")*6000000)+$D$3*E47*(COUNTIF(B47,"Liquid+LPA")*5400000)+$D$3*E47*(COUNTIF(B47,"Solid+LPA")*1400000)</f>
        <v>0</v>
      </c>
      <c r="J47" s="8">
        <f>$D$3*D47*75000+$D$3*D47*(COUNTIF(B47,"Solid+Liquid+LPA")*75000)+$D$3*D47*(COUNTIF(B47,"Solid")*25000)+$D$3*D47*(COUNTIF(B47,"Liquid")*25000)+$D$3*D47*(COUNTIF(B47,"LPA")*25000)+$D$3*D47*(COUNTIF(B47,"Solid+Liquid")*50000)+$D$3*D47*(COUNTIF(B47,"Liquid+LPA")*50000)+$D$3*D47*(COUNTIF(B47,"Solid+LPA")*50000)</f>
        <v>0</v>
      </c>
      <c r="K47" s="8">
        <f>SUM(I47:J47)</f>
        <v>0</v>
      </c>
      <c r="L47" s="162"/>
      <c r="M47" s="212"/>
      <c r="N47" s="1002"/>
      <c r="O47" s="1002"/>
      <c r="P47" s="1002"/>
      <c r="Q47" s="1003"/>
      <c r="R47" s="6"/>
      <c r="S47" s="6"/>
      <c r="T47" s="6"/>
    </row>
    <row r="48" spans="1:20" ht="15.75" thickBot="1" x14ac:dyDescent="0.3">
      <c r="A48" s="163" t="s">
        <v>204</v>
      </c>
      <c r="B48" s="160" t="s">
        <v>206</v>
      </c>
      <c r="C48" s="380"/>
      <c r="D48" s="160"/>
      <c r="E48" s="160"/>
      <c r="F48" s="160"/>
      <c r="G48" s="161"/>
      <c r="H48" s="18">
        <f>F48+G48</f>
        <v>0</v>
      </c>
      <c r="I48" s="8">
        <f>E48*(COUNTIF(B48,"Solid+Liquid+LPA")*6400000)+$D$3*E48*(COUNTIF(B48,"Solid")*1000000)+$D$3*E48*(COUNTIF(B48,"Liquid")*5000000)+$D$3*E48*(COUNTIF(B48,"LPA")*400000)+$D$3*E48*(COUNTIF(B48,"Solid+Liquid")*6000000)+$D$3*E48*(COUNTIF(B48,"Liquid+LPA")*5400000)+$D$3*E48*(COUNTIF(B48,"Solid+LPA")*1400000)</f>
        <v>0</v>
      </c>
      <c r="J48" s="8">
        <f>D48*75000+D48*(COUNTIF(B48,"Solid+Liquid+LPA")*75000)+D48*(COUNTIF(B48,"Solid")*25000)+D48*(COUNTIF(B48,"Liquid")*25000)+D48*(COUNTIF(B48,"LPA")*25000)+D48*(COUNTIF(B48,"Solid+Liquid")*50000)+D48*(COUNTIF(B48,"Liquid+LPA")*50000)+D48*(COUNTIF(B48,"Solid+LPA")*50000)</f>
        <v>0</v>
      </c>
      <c r="K48" s="8">
        <f>SUM(I48:J48)</f>
        <v>0</v>
      </c>
      <c r="L48" s="162"/>
      <c r="M48" s="212"/>
      <c r="N48" s="1002"/>
      <c r="O48" s="1002"/>
      <c r="P48" s="1002"/>
      <c r="Q48" s="1003"/>
      <c r="R48" s="6"/>
      <c r="S48" s="6"/>
      <c r="T48" s="6"/>
    </row>
    <row r="49" spans="1:20" ht="15.75" thickBot="1" x14ac:dyDescent="0.3">
      <c r="A49" s="1015" t="s">
        <v>476</v>
      </c>
      <c r="B49" s="1016"/>
      <c r="C49" s="258"/>
      <c r="D49" s="259">
        <f>SUM(D46:D48)</f>
        <v>0</v>
      </c>
      <c r="E49" s="259">
        <f t="shared" ref="E49:K49" si="0">SUM(E46:E48)</f>
        <v>0</v>
      </c>
      <c r="F49" s="259">
        <f t="shared" si="0"/>
        <v>0</v>
      </c>
      <c r="G49" s="259">
        <f t="shared" si="0"/>
        <v>0</v>
      </c>
      <c r="H49" s="259">
        <f t="shared" si="0"/>
        <v>0</v>
      </c>
      <c r="I49" s="259">
        <f t="shared" si="0"/>
        <v>0</v>
      </c>
      <c r="J49" s="259">
        <f t="shared" si="0"/>
        <v>0</v>
      </c>
      <c r="K49" s="259">
        <f t="shared" si="0"/>
        <v>0</v>
      </c>
      <c r="L49" s="260"/>
      <c r="M49" s="261"/>
      <c r="N49" s="1002"/>
      <c r="O49" s="1002"/>
      <c r="P49" s="1002"/>
      <c r="Q49" s="1003"/>
      <c r="R49" s="6"/>
      <c r="S49" s="6"/>
      <c r="T49" s="6"/>
    </row>
    <row r="50" spans="1:20" x14ac:dyDescent="0.25">
      <c r="A50" s="1013" t="s">
        <v>477</v>
      </c>
      <c r="B50" s="1014"/>
      <c r="C50" s="24"/>
      <c r="D50" s="25"/>
      <c r="E50" s="25"/>
      <c r="F50" s="25"/>
      <c r="G50" s="26"/>
      <c r="H50" s="27"/>
      <c r="I50" s="28"/>
      <c r="J50" s="28"/>
      <c r="K50" s="28"/>
      <c r="L50" s="29"/>
      <c r="M50" s="30"/>
      <c r="N50" s="1002"/>
      <c r="O50" s="1002"/>
      <c r="P50" s="1002"/>
      <c r="Q50" s="1003"/>
      <c r="R50" s="6"/>
      <c r="S50" s="6"/>
      <c r="T50" s="6"/>
    </row>
    <row r="51" spans="1:20" x14ac:dyDescent="0.25">
      <c r="A51" s="1035" t="s">
        <v>51</v>
      </c>
      <c r="B51" s="1036"/>
      <c r="C51" s="380"/>
      <c r="D51" s="381"/>
      <c r="E51" s="381"/>
      <c r="F51" s="381"/>
      <c r="G51" s="381"/>
      <c r="H51" s="382"/>
      <c r="I51" s="378"/>
      <c r="J51" s="378"/>
      <c r="K51" s="8">
        <f>SUM(I51:J51)</f>
        <v>0</v>
      </c>
      <c r="L51" s="263"/>
      <c r="M51" s="262"/>
      <c r="N51" s="1002"/>
      <c r="O51" s="1002"/>
      <c r="P51" s="1002"/>
      <c r="Q51" s="1003"/>
      <c r="R51" s="6"/>
      <c r="S51" s="6"/>
      <c r="T51" s="6"/>
    </row>
    <row r="52" spans="1:20" x14ac:dyDescent="0.25">
      <c r="A52" s="1035" t="s">
        <v>52</v>
      </c>
      <c r="B52" s="1036"/>
      <c r="C52" s="380"/>
      <c r="D52" s="381"/>
      <c r="E52" s="381"/>
      <c r="F52" s="381"/>
      <c r="G52" s="381"/>
      <c r="H52" s="382"/>
      <c r="I52" s="378"/>
      <c r="J52" s="378"/>
      <c r="K52" s="8">
        <f t="shared" ref="K52:K57" si="1">SUM(I52:J52)</f>
        <v>0</v>
      </c>
      <c r="L52" s="263"/>
      <c r="M52" s="262"/>
      <c r="N52" s="1002"/>
      <c r="O52" s="1002"/>
      <c r="P52" s="1002"/>
      <c r="Q52" s="1003"/>
      <c r="R52" s="6"/>
      <c r="S52" s="6"/>
      <c r="T52" s="6"/>
    </row>
    <row r="53" spans="1:20" x14ac:dyDescent="0.25">
      <c r="A53" s="1035" t="s">
        <v>53</v>
      </c>
      <c r="B53" s="1036"/>
      <c r="C53" s="380"/>
      <c r="D53" s="381"/>
      <c r="E53" s="381"/>
      <c r="F53" s="381"/>
      <c r="G53" s="381"/>
      <c r="H53" s="382"/>
      <c r="I53" s="378"/>
      <c r="J53" s="378"/>
      <c r="K53" s="8">
        <f t="shared" si="1"/>
        <v>0</v>
      </c>
      <c r="L53" s="263"/>
      <c r="M53" s="262"/>
      <c r="N53" s="1002"/>
      <c r="O53" s="1002"/>
      <c r="P53" s="1002"/>
      <c r="Q53" s="1003"/>
      <c r="R53" s="6"/>
      <c r="S53" s="6"/>
      <c r="T53" s="6"/>
    </row>
    <row r="54" spans="1:20" x14ac:dyDescent="0.25">
      <c r="A54" s="1035" t="s">
        <v>54</v>
      </c>
      <c r="B54" s="1036"/>
      <c r="C54" s="380"/>
      <c r="D54" s="381"/>
      <c r="E54" s="381"/>
      <c r="F54" s="381"/>
      <c r="G54" s="381"/>
      <c r="H54" s="382"/>
      <c r="I54" s="378"/>
      <c r="J54" s="378"/>
      <c r="K54" s="8">
        <f t="shared" si="1"/>
        <v>0</v>
      </c>
      <c r="L54" s="263"/>
      <c r="M54" s="262"/>
      <c r="N54" s="1002"/>
      <c r="O54" s="1002"/>
      <c r="P54" s="1002"/>
      <c r="Q54" s="1003"/>
      <c r="R54" s="6"/>
      <c r="S54" s="6"/>
      <c r="T54" s="6"/>
    </row>
    <row r="55" spans="1:20" x14ac:dyDescent="0.25">
      <c r="A55" s="1035" t="s">
        <v>55</v>
      </c>
      <c r="B55" s="1036"/>
      <c r="C55" s="380"/>
      <c r="D55" s="381"/>
      <c r="E55" s="381"/>
      <c r="F55" s="381"/>
      <c r="G55" s="381"/>
      <c r="H55" s="382"/>
      <c r="I55" s="378"/>
      <c r="J55" s="378"/>
      <c r="K55" s="8">
        <f t="shared" si="1"/>
        <v>0</v>
      </c>
      <c r="L55" s="263"/>
      <c r="M55" s="262"/>
      <c r="N55" s="1002"/>
      <c r="O55" s="1002"/>
      <c r="P55" s="1002"/>
      <c r="Q55" s="1003"/>
      <c r="R55" s="6"/>
      <c r="S55" s="6"/>
      <c r="T55" s="6"/>
    </row>
    <row r="56" spans="1:20" x14ac:dyDescent="0.25">
      <c r="A56" s="1035" t="s">
        <v>56</v>
      </c>
      <c r="B56" s="1036"/>
      <c r="C56" s="380"/>
      <c r="D56" s="381"/>
      <c r="E56" s="381"/>
      <c r="F56" s="381"/>
      <c r="G56" s="381"/>
      <c r="H56" s="382"/>
      <c r="I56" s="378"/>
      <c r="J56" s="378"/>
      <c r="K56" s="8">
        <f t="shared" si="1"/>
        <v>0</v>
      </c>
      <c r="L56" s="263"/>
      <c r="M56" s="262"/>
      <c r="N56" s="1002"/>
      <c r="O56" s="1002"/>
      <c r="P56" s="1002"/>
      <c r="Q56" s="1003"/>
      <c r="R56" s="6"/>
      <c r="S56" s="6"/>
      <c r="T56" s="6"/>
    </row>
    <row r="57" spans="1:20" ht="15.75" thickBot="1" x14ac:dyDescent="0.3">
      <c r="A57" s="1029" t="s">
        <v>57</v>
      </c>
      <c r="B57" s="1030"/>
      <c r="C57" s="383"/>
      <c r="D57" s="384"/>
      <c r="E57" s="384"/>
      <c r="F57" s="384"/>
      <c r="G57" s="384"/>
      <c r="H57" s="385"/>
      <c r="I57" s="386"/>
      <c r="J57" s="386"/>
      <c r="K57" s="31">
        <f t="shared" si="1"/>
        <v>0</v>
      </c>
      <c r="L57" s="266"/>
      <c r="M57" s="265"/>
      <c r="N57" s="1002"/>
      <c r="O57" s="1002"/>
      <c r="P57" s="1002"/>
      <c r="Q57" s="1003"/>
      <c r="R57" s="6"/>
      <c r="S57" s="6"/>
      <c r="T57" s="6"/>
    </row>
    <row r="58" spans="1:20" ht="15.75" thickBot="1" x14ac:dyDescent="0.3">
      <c r="A58" s="1015" t="s">
        <v>478</v>
      </c>
      <c r="B58" s="1016"/>
      <c r="C58" s="258"/>
      <c r="D58" s="259">
        <f>SUM(D51:D57)</f>
        <v>0</v>
      </c>
      <c r="E58" s="259">
        <f t="shared" ref="E58:K58" si="2">SUM(E51:E57)</f>
        <v>0</v>
      </c>
      <c r="F58" s="259">
        <f t="shared" si="2"/>
        <v>0</v>
      </c>
      <c r="G58" s="259">
        <f t="shared" si="2"/>
        <v>0</v>
      </c>
      <c r="H58" s="259">
        <f t="shared" si="2"/>
        <v>0</v>
      </c>
      <c r="I58" s="259">
        <f t="shared" si="2"/>
        <v>0</v>
      </c>
      <c r="J58" s="259">
        <f t="shared" si="2"/>
        <v>0</v>
      </c>
      <c r="K58" s="259">
        <f t="shared" si="2"/>
        <v>0</v>
      </c>
      <c r="L58" s="260"/>
      <c r="M58" s="267"/>
      <c r="N58" s="1002"/>
      <c r="O58" s="1002"/>
      <c r="P58" s="1002"/>
      <c r="Q58" s="1003"/>
      <c r="R58" s="6"/>
      <c r="S58" s="6"/>
      <c r="T58" s="6"/>
    </row>
    <row r="59" spans="1:20" s="32" customFormat="1" ht="15.75" customHeight="1" x14ac:dyDescent="0.2">
      <c r="A59" s="1031" t="s">
        <v>58</v>
      </c>
      <c r="B59" s="1032"/>
      <c r="C59" s="387"/>
      <c r="D59" s="381"/>
      <c r="E59" s="381"/>
      <c r="F59" s="381"/>
      <c r="G59" s="381"/>
      <c r="H59" s="388"/>
      <c r="I59" s="389"/>
      <c r="J59" s="389"/>
      <c r="K59" s="268">
        <f>SUM(I59:J59)</f>
        <v>0</v>
      </c>
      <c r="L59" s="263"/>
      <c r="M59" s="262"/>
      <c r="N59" s="1002"/>
      <c r="O59" s="1002"/>
      <c r="P59" s="1002"/>
      <c r="Q59" s="1003"/>
    </row>
    <row r="60" spans="1:20" s="32" customFormat="1" x14ac:dyDescent="0.2">
      <c r="A60" s="1011" t="s">
        <v>59</v>
      </c>
      <c r="B60" s="1012"/>
      <c r="C60" s="380"/>
      <c r="D60" s="381"/>
      <c r="E60" s="381"/>
      <c r="F60" s="381"/>
      <c r="G60" s="381"/>
      <c r="H60" s="382"/>
      <c r="I60" s="390"/>
      <c r="J60" s="390"/>
      <c r="K60" s="8">
        <f>SUM(I60:J60)</f>
        <v>0</v>
      </c>
      <c r="L60" s="263"/>
      <c r="M60" s="269"/>
      <c r="N60" s="1002"/>
      <c r="O60" s="1002"/>
      <c r="P60" s="1002"/>
      <c r="Q60" s="1003"/>
    </row>
    <row r="61" spans="1:20" s="32" customFormat="1" x14ac:dyDescent="0.2">
      <c r="A61" s="1011" t="s">
        <v>60</v>
      </c>
      <c r="B61" s="1012"/>
      <c r="C61" s="380"/>
      <c r="D61" s="381"/>
      <c r="E61" s="381"/>
      <c r="F61" s="381"/>
      <c r="G61" s="381"/>
      <c r="H61" s="382"/>
      <c r="I61" s="390"/>
      <c r="J61" s="390"/>
      <c r="K61" s="8">
        <f>SUM(I61:J61)</f>
        <v>0</v>
      </c>
      <c r="L61" s="263"/>
      <c r="M61" s="262"/>
      <c r="N61" s="1002"/>
      <c r="O61" s="1002"/>
      <c r="P61" s="1002"/>
      <c r="Q61" s="1003"/>
    </row>
    <row r="62" spans="1:20" s="32" customFormat="1" x14ac:dyDescent="0.2">
      <c r="A62" s="1033" t="s">
        <v>61</v>
      </c>
      <c r="B62" s="1034"/>
      <c r="C62" s="391"/>
      <c r="D62" s="381"/>
      <c r="E62" s="381"/>
      <c r="F62" s="381"/>
      <c r="G62" s="381"/>
      <c r="H62" s="382"/>
      <c r="I62" s="390"/>
      <c r="J62" s="390"/>
      <c r="K62" s="8">
        <f>SUM(I62:J62)</f>
        <v>0</v>
      </c>
      <c r="L62" s="263"/>
      <c r="M62" s="262"/>
      <c r="N62" s="1002"/>
      <c r="O62" s="1002"/>
      <c r="P62" s="1002"/>
      <c r="Q62" s="1003"/>
    </row>
    <row r="63" spans="1:20" s="32" customFormat="1" ht="15.75" thickBot="1" x14ac:dyDescent="0.25">
      <c r="A63" s="1045" t="s">
        <v>62</v>
      </c>
      <c r="B63" s="1046"/>
      <c r="C63" s="392"/>
      <c r="D63" s="381"/>
      <c r="E63" s="381"/>
      <c r="F63" s="381"/>
      <c r="G63" s="381"/>
      <c r="H63" s="385"/>
      <c r="I63" s="393"/>
      <c r="J63" s="393"/>
      <c r="K63" s="31">
        <f>SUM(I63:J63)</f>
        <v>0</v>
      </c>
      <c r="L63" s="263"/>
      <c r="M63" s="262"/>
      <c r="N63" s="1002"/>
      <c r="O63" s="1002"/>
      <c r="P63" s="1002"/>
      <c r="Q63" s="1003"/>
    </row>
    <row r="64" spans="1:20" s="32" customFormat="1" ht="19.5" thickBot="1" x14ac:dyDescent="0.25">
      <c r="A64" s="1027" t="s">
        <v>2</v>
      </c>
      <c r="B64" s="1028"/>
      <c r="C64" s="35"/>
      <c r="D64" s="36"/>
      <c r="E64" s="36"/>
      <c r="F64" s="394">
        <f>SUM(F39:F44,F49,F58,F59:F63)</f>
        <v>0</v>
      </c>
      <c r="G64" s="37">
        <f t="shared" ref="G64:K64" si="3">SUM(G39:G44,G49,G58,G59:G63)</f>
        <v>0</v>
      </c>
      <c r="H64" s="38">
        <f t="shared" si="3"/>
        <v>0</v>
      </c>
      <c r="I64" s="37">
        <f t="shared" si="3"/>
        <v>1000000</v>
      </c>
      <c r="J64" s="37">
        <f t="shared" si="3"/>
        <v>650000</v>
      </c>
      <c r="K64" s="37">
        <f t="shared" si="3"/>
        <v>1350000</v>
      </c>
      <c r="L64" s="39"/>
      <c r="M64" s="40"/>
      <c r="N64" s="1004"/>
      <c r="O64" s="1004"/>
      <c r="P64" s="1004"/>
      <c r="Q64" s="1004"/>
    </row>
    <row r="65" spans="1:20" s="32" customFormat="1" ht="13.5" thickBot="1" x14ac:dyDescent="0.25">
      <c r="A65" s="41"/>
      <c r="B65" s="41"/>
      <c r="C65" s="41"/>
      <c r="D65" s="41"/>
      <c r="E65" s="41"/>
      <c r="F65" s="41"/>
      <c r="G65" s="41"/>
      <c r="H65" s="42"/>
      <c r="I65" s="42"/>
      <c r="J65" s="43"/>
      <c r="K65" s="43"/>
      <c r="L65" s="44"/>
      <c r="M65" s="45"/>
      <c r="N65" s="46"/>
      <c r="O65" s="47"/>
      <c r="P65" s="47"/>
      <c r="Q65" s="47"/>
    </row>
    <row r="66" spans="1:20" ht="18" x14ac:dyDescent="0.25">
      <c r="A66" s="1418" t="s">
        <v>4</v>
      </c>
      <c r="B66" s="1419"/>
      <c r="C66" s="1419"/>
      <c r="D66" s="1419"/>
      <c r="E66" s="1419"/>
      <c r="F66" s="1419"/>
      <c r="G66" s="1419"/>
      <c r="H66" s="1419"/>
      <c r="I66" s="1420"/>
      <c r="J66" s="985" t="s">
        <v>38</v>
      </c>
      <c r="K66" s="985"/>
      <c r="L66" s="985"/>
      <c r="M66" s="985"/>
      <c r="N66" s="1055" t="s">
        <v>39</v>
      </c>
      <c r="O66" s="1055"/>
      <c r="P66" s="1055"/>
      <c r="Q66" s="1056"/>
      <c r="R66" s="6"/>
      <c r="S66" s="6"/>
      <c r="T66" s="6"/>
    </row>
    <row r="67" spans="1:20" ht="12.75" customHeight="1" x14ac:dyDescent="0.25">
      <c r="A67" s="270"/>
      <c r="B67" s="6"/>
      <c r="C67" s="48"/>
      <c r="D67" s="48"/>
      <c r="E67" s="48"/>
      <c r="F67" s="48"/>
      <c r="G67" s="48"/>
      <c r="H67" s="48"/>
      <c r="I67" s="48"/>
      <c r="J67" s="1057" t="s">
        <v>63</v>
      </c>
      <c r="K67" s="1057"/>
      <c r="L67" s="1058"/>
      <c r="M67" s="1058"/>
      <c r="N67" s="1059"/>
      <c r="O67" s="1000"/>
      <c r="P67" s="1000"/>
      <c r="Q67" s="1001"/>
      <c r="R67" s="6"/>
      <c r="S67" s="6"/>
      <c r="T67" s="6"/>
    </row>
    <row r="68" spans="1:20" s="14" customFormat="1" ht="56.25" customHeight="1" x14ac:dyDescent="0.25">
      <c r="A68" s="1061" t="s">
        <v>42</v>
      </c>
      <c r="B68" s="1041"/>
      <c r="C68" s="183" t="s">
        <v>479</v>
      </c>
      <c r="D68" s="1057" t="s">
        <v>64</v>
      </c>
      <c r="E68" s="1057"/>
      <c r="F68" s="1041" t="s">
        <v>930</v>
      </c>
      <c r="G68" s="1041"/>
      <c r="H68" s="1041" t="s">
        <v>931</v>
      </c>
      <c r="I68" s="1042"/>
      <c r="J68" s="1057"/>
      <c r="K68" s="1057"/>
      <c r="L68" s="185"/>
      <c r="M68" s="49"/>
      <c r="N68" s="1060"/>
      <c r="O68" s="1002"/>
      <c r="P68" s="1002"/>
      <c r="Q68" s="1003"/>
    </row>
    <row r="69" spans="1:20" s="14" customFormat="1" ht="56.25" customHeight="1" x14ac:dyDescent="0.25">
      <c r="A69" s="1038" t="s">
        <v>480</v>
      </c>
      <c r="B69" s="1039"/>
      <c r="C69" s="1043">
        <f>$D$3*H9/10*30000</f>
        <v>0</v>
      </c>
      <c r="D69" s="1040"/>
      <c r="E69" s="1040"/>
      <c r="F69" s="1040"/>
      <c r="G69" s="1040"/>
      <c r="H69" s="1040"/>
      <c r="I69" s="1040"/>
      <c r="J69" s="1037" t="e">
        <f t="shared" ref="J69:J74" si="4">D69/F69</f>
        <v>#DIV/0!</v>
      </c>
      <c r="K69" s="1037"/>
      <c r="L69" s="271"/>
      <c r="M69" s="50"/>
      <c r="N69" s="1060"/>
      <c r="O69" s="1002"/>
      <c r="P69" s="1002"/>
      <c r="Q69" s="1003"/>
    </row>
    <row r="70" spans="1:20" s="14" customFormat="1" ht="56.25" customHeight="1" x14ac:dyDescent="0.25">
      <c r="A70" s="1038" t="s">
        <v>481</v>
      </c>
      <c r="B70" s="1039"/>
      <c r="C70" s="1044"/>
      <c r="D70" s="1040"/>
      <c r="E70" s="1040"/>
      <c r="F70" s="1040"/>
      <c r="G70" s="1040"/>
      <c r="H70" s="1040"/>
      <c r="I70" s="1040"/>
      <c r="J70" s="1037" t="e">
        <f t="shared" si="4"/>
        <v>#DIV/0!</v>
      </c>
      <c r="K70" s="1037"/>
      <c r="L70" s="271"/>
      <c r="M70" s="50"/>
      <c r="N70" s="1060"/>
      <c r="O70" s="1002"/>
      <c r="P70" s="1002"/>
      <c r="Q70" s="1003"/>
    </row>
    <row r="71" spans="1:20" s="32" customFormat="1" ht="24" customHeight="1" x14ac:dyDescent="0.2">
      <c r="A71" s="1038" t="s">
        <v>65</v>
      </c>
      <c r="B71" s="1039"/>
      <c r="C71" s="1043">
        <f>300000*$D$3*(H9/10)</f>
        <v>0</v>
      </c>
      <c r="D71" s="1040"/>
      <c r="E71" s="1040"/>
      <c r="F71" s="1053"/>
      <c r="G71" s="1053"/>
      <c r="H71" s="1053"/>
      <c r="I71" s="1054"/>
      <c r="J71" s="1037" t="e">
        <f t="shared" si="4"/>
        <v>#DIV/0!</v>
      </c>
      <c r="K71" s="1037"/>
      <c r="L71" s="189"/>
      <c r="M71" s="50"/>
      <c r="N71" s="1060"/>
      <c r="O71" s="1002"/>
      <c r="P71" s="1002"/>
      <c r="Q71" s="1003"/>
    </row>
    <row r="72" spans="1:20" ht="39" customHeight="1" x14ac:dyDescent="0.25">
      <c r="A72" s="1038" t="s">
        <v>66</v>
      </c>
      <c r="B72" s="1039"/>
      <c r="C72" s="1051"/>
      <c r="D72" s="1040"/>
      <c r="E72" s="1040"/>
      <c r="F72" s="1053"/>
      <c r="G72" s="1053"/>
      <c r="H72" s="1053"/>
      <c r="I72" s="1054"/>
      <c r="J72" s="1037" t="e">
        <f t="shared" si="4"/>
        <v>#DIV/0!</v>
      </c>
      <c r="K72" s="1037"/>
      <c r="L72" s="189"/>
      <c r="M72" s="50"/>
      <c r="N72" s="1060"/>
      <c r="O72" s="1002"/>
      <c r="P72" s="1002"/>
      <c r="Q72" s="1003"/>
      <c r="R72" s="6"/>
      <c r="S72" s="6"/>
      <c r="T72" s="6"/>
    </row>
    <row r="73" spans="1:20" ht="26.25" customHeight="1" thickBot="1" x14ac:dyDescent="0.3">
      <c r="A73" s="1594" t="s">
        <v>67</v>
      </c>
      <c r="B73" s="1595"/>
      <c r="C73" s="1052"/>
      <c r="D73" s="1047"/>
      <c r="E73" s="1047"/>
      <c r="F73" s="1048"/>
      <c r="G73" s="1048"/>
      <c r="H73" s="1048"/>
      <c r="I73" s="1049"/>
      <c r="J73" s="1050" t="e">
        <f t="shared" si="4"/>
        <v>#DIV/0!</v>
      </c>
      <c r="K73" s="1050"/>
      <c r="L73" s="188"/>
      <c r="M73" s="51"/>
      <c r="N73" s="1060"/>
      <c r="O73" s="1002"/>
      <c r="P73" s="1002"/>
      <c r="Q73" s="1003"/>
      <c r="R73" s="6"/>
      <c r="S73" s="6"/>
      <c r="T73" s="6"/>
    </row>
    <row r="74" spans="1:20" ht="24" customHeight="1" thickBot="1" x14ac:dyDescent="0.3">
      <c r="A74" s="1585" t="s">
        <v>2</v>
      </c>
      <c r="B74" s="1586"/>
      <c r="C74" s="210">
        <f>SUM(C69:C73)</f>
        <v>0</v>
      </c>
      <c r="D74" s="1587">
        <f>SUM(D69:E73)</f>
        <v>0</v>
      </c>
      <c r="E74" s="1588"/>
      <c r="F74" s="1589">
        <f>SUM(F69:G73)</f>
        <v>0</v>
      </c>
      <c r="G74" s="1590"/>
      <c r="H74" s="1589">
        <f>SUM(H69:I73)</f>
        <v>0</v>
      </c>
      <c r="I74" s="1590"/>
      <c r="J74" s="1591" t="e">
        <f t="shared" si="4"/>
        <v>#DIV/0!</v>
      </c>
      <c r="K74" s="1592"/>
      <c r="L74" s="52"/>
      <c r="M74" s="40"/>
      <c r="N74" s="1004"/>
      <c r="O74" s="1004"/>
      <c r="P74" s="1004"/>
      <c r="Q74" s="1004"/>
      <c r="R74" s="6"/>
      <c r="S74" s="6"/>
      <c r="T74" s="6"/>
    </row>
    <row r="75" spans="1:20" ht="15.75" thickBot="1" x14ac:dyDescent="0.3">
      <c r="R75" s="6"/>
      <c r="S75" s="6"/>
      <c r="T75" s="6"/>
    </row>
    <row r="76" spans="1:20" ht="18" x14ac:dyDescent="0.25">
      <c r="A76" s="1158" t="s">
        <v>482</v>
      </c>
      <c r="B76" s="1159"/>
      <c r="C76" s="1159"/>
      <c r="D76" s="1159"/>
      <c r="E76" s="1159"/>
      <c r="F76" s="1159"/>
      <c r="G76" s="1159"/>
      <c r="H76" s="1159"/>
      <c r="I76" s="1593"/>
      <c r="J76" s="1102" t="s">
        <v>38</v>
      </c>
      <c r="K76" s="1103"/>
      <c r="L76" s="1103"/>
      <c r="M76" s="1104"/>
      <c r="N76" s="1072" t="s">
        <v>39</v>
      </c>
      <c r="O76" s="1073"/>
      <c r="P76" s="1073"/>
      <c r="Q76" s="1074"/>
      <c r="R76" s="6"/>
      <c r="S76" s="6"/>
      <c r="T76" s="6"/>
    </row>
    <row r="77" spans="1:20" ht="22.5" customHeight="1" x14ac:dyDescent="0.25">
      <c r="A77" s="272"/>
      <c r="B77" s="53"/>
      <c r="C77" s="53"/>
      <c r="D77" s="53"/>
      <c r="E77" s="54"/>
      <c r="F77" s="54"/>
      <c r="G77" s="54"/>
      <c r="H77" s="54"/>
      <c r="I77" s="54"/>
      <c r="J77" s="1008" t="s">
        <v>68</v>
      </c>
      <c r="K77" s="1008"/>
      <c r="L77" s="1075"/>
      <c r="M77" s="1075"/>
      <c r="N77" s="1076"/>
      <c r="O77" s="1077"/>
      <c r="P77" s="1077"/>
      <c r="Q77" s="1078"/>
      <c r="R77" s="6"/>
      <c r="S77" s="6"/>
      <c r="T77" s="6"/>
    </row>
    <row r="78" spans="1:20" s="14" customFormat="1" ht="60.75" customHeight="1" x14ac:dyDescent="0.25">
      <c r="A78" s="1083" t="s">
        <v>42</v>
      </c>
      <c r="B78" s="1084"/>
      <c r="C78" s="177" t="s">
        <v>69</v>
      </c>
      <c r="D78" s="398" t="s">
        <v>244</v>
      </c>
      <c r="E78" s="192" t="s">
        <v>70</v>
      </c>
      <c r="F78" s="1084" t="s">
        <v>932</v>
      </c>
      <c r="G78" s="1084"/>
      <c r="H78" s="1084" t="s">
        <v>933</v>
      </c>
      <c r="I78" s="1085"/>
      <c r="J78" s="1008"/>
      <c r="K78" s="1008"/>
      <c r="L78" s="191"/>
      <c r="M78" s="191"/>
      <c r="N78" s="1079"/>
      <c r="O78" s="1080"/>
      <c r="P78" s="1080"/>
      <c r="Q78" s="1081"/>
    </row>
    <row r="79" spans="1:20" ht="37.5" customHeight="1" x14ac:dyDescent="0.25">
      <c r="A79" s="1062" t="s">
        <v>567</v>
      </c>
      <c r="B79" s="1063"/>
      <c r="C79" s="222">
        <f>D79*1000</f>
        <v>0</v>
      </c>
      <c r="D79" s="395"/>
      <c r="E79" s="396"/>
      <c r="F79" s="1068"/>
      <c r="G79" s="1069"/>
      <c r="H79" s="1070"/>
      <c r="I79" s="1071"/>
      <c r="J79" s="1066" t="e">
        <f>E79/F79</f>
        <v>#DIV/0!</v>
      </c>
      <c r="K79" s="1067"/>
      <c r="L79" s="189"/>
      <c r="M79" s="196"/>
      <c r="N79" s="1079"/>
      <c r="O79" s="1080"/>
      <c r="P79" s="1080"/>
      <c r="Q79" s="1081"/>
      <c r="R79" s="6"/>
      <c r="S79" s="6"/>
      <c r="T79" s="6"/>
    </row>
    <row r="80" spans="1:20" ht="38.25" customHeight="1" x14ac:dyDescent="0.25">
      <c r="A80" s="1062" t="s">
        <v>568</v>
      </c>
      <c r="B80" s="1063"/>
      <c r="C80" s="222">
        <f>D80*1500</f>
        <v>0</v>
      </c>
      <c r="D80" s="395"/>
      <c r="E80" s="396"/>
      <c r="F80" s="1064"/>
      <c r="G80" s="1064"/>
      <c r="H80" s="1065"/>
      <c r="I80" s="1065"/>
      <c r="J80" s="1066" t="e">
        <f t="shared" ref="J80:J85" si="5">E80/F80</f>
        <v>#DIV/0!</v>
      </c>
      <c r="K80" s="1067"/>
      <c r="L80" s="189"/>
      <c r="M80" s="196"/>
      <c r="N80" s="1079"/>
      <c r="O80" s="1080"/>
      <c r="P80" s="1080"/>
      <c r="Q80" s="1081"/>
      <c r="R80" s="6"/>
      <c r="S80" s="6"/>
      <c r="T80" s="6"/>
    </row>
    <row r="81" spans="1:20" ht="35.25" customHeight="1" x14ac:dyDescent="0.25">
      <c r="A81" s="1062" t="s">
        <v>242</v>
      </c>
      <c r="B81" s="1063"/>
      <c r="C81" s="455">
        <f>E81*1.3</f>
        <v>0</v>
      </c>
      <c r="D81" s="395"/>
      <c r="E81" s="396"/>
      <c r="F81" s="1064"/>
      <c r="G81" s="1064"/>
      <c r="H81" s="1065"/>
      <c r="I81" s="1065"/>
      <c r="J81" s="1066" t="e">
        <f t="shared" si="5"/>
        <v>#DIV/0!</v>
      </c>
      <c r="K81" s="1067"/>
      <c r="L81" s="189"/>
      <c r="M81" s="196"/>
      <c r="N81" s="1079"/>
      <c r="O81" s="1080"/>
      <c r="P81" s="1080"/>
      <c r="Q81" s="1081"/>
      <c r="R81" s="6"/>
      <c r="S81" s="6"/>
      <c r="T81" s="6"/>
    </row>
    <row r="82" spans="1:20" ht="33" customHeight="1" x14ac:dyDescent="0.25">
      <c r="A82" s="1062" t="s">
        <v>243</v>
      </c>
      <c r="B82" s="1063"/>
      <c r="C82" s="222">
        <f>750*D82</f>
        <v>0</v>
      </c>
      <c r="D82" s="395"/>
      <c r="E82" s="396"/>
      <c r="F82" s="1064"/>
      <c r="G82" s="1064"/>
      <c r="H82" s="1065"/>
      <c r="I82" s="1065"/>
      <c r="J82" s="1066" t="e">
        <f t="shared" si="5"/>
        <v>#DIV/0!</v>
      </c>
      <c r="K82" s="1067"/>
      <c r="L82" s="189"/>
      <c r="M82" s="196"/>
      <c r="N82" s="1079"/>
      <c r="O82" s="1080"/>
      <c r="P82" s="1080"/>
      <c r="Q82" s="1081"/>
      <c r="R82" s="6"/>
      <c r="S82" s="6"/>
      <c r="T82" s="6"/>
    </row>
    <row r="83" spans="1:20" ht="42" customHeight="1" x14ac:dyDescent="0.25">
      <c r="A83" s="1098" t="s">
        <v>876</v>
      </c>
      <c r="B83" s="1099"/>
      <c r="C83" s="223">
        <f>1000*D83</f>
        <v>0</v>
      </c>
      <c r="D83" s="395"/>
      <c r="E83" s="396"/>
      <c r="F83" s="1064"/>
      <c r="G83" s="1064"/>
      <c r="H83" s="1065"/>
      <c r="I83" s="1065"/>
      <c r="J83" s="1066" t="e">
        <f t="shared" si="5"/>
        <v>#DIV/0!</v>
      </c>
      <c r="K83" s="1067"/>
      <c r="L83" s="189"/>
      <c r="M83" s="196"/>
      <c r="N83" s="1079"/>
      <c r="O83" s="1080"/>
      <c r="P83" s="1080"/>
      <c r="Q83" s="1081"/>
      <c r="R83" s="6"/>
      <c r="S83" s="6"/>
      <c r="T83" s="6"/>
    </row>
    <row r="84" spans="1:20" ht="42" customHeight="1" x14ac:dyDescent="0.25">
      <c r="A84" s="1086" t="s">
        <v>182</v>
      </c>
      <c r="B84" s="1087"/>
      <c r="C84" s="223">
        <f>1500*D84</f>
        <v>0</v>
      </c>
      <c r="D84" s="395"/>
      <c r="E84" s="396"/>
      <c r="F84" s="1064"/>
      <c r="G84" s="1064"/>
      <c r="H84" s="1065"/>
      <c r="I84" s="1065"/>
      <c r="J84" s="1066" t="e">
        <f t="shared" si="5"/>
        <v>#DIV/0!</v>
      </c>
      <c r="K84" s="1067"/>
      <c r="L84" s="189"/>
      <c r="M84" s="196"/>
      <c r="N84" s="1079"/>
      <c r="O84" s="1080"/>
      <c r="P84" s="1080"/>
      <c r="Q84" s="1081"/>
      <c r="R84" s="6"/>
      <c r="S84" s="6"/>
      <c r="T84" s="6"/>
    </row>
    <row r="85" spans="1:20" ht="42.75" customHeight="1" thickBot="1" x14ac:dyDescent="0.3">
      <c r="A85" s="1086" t="s">
        <v>182</v>
      </c>
      <c r="B85" s="1087"/>
      <c r="C85" s="223"/>
      <c r="D85" s="456"/>
      <c r="E85" s="397"/>
      <c r="F85" s="1088"/>
      <c r="G85" s="1088"/>
      <c r="H85" s="1089"/>
      <c r="I85" s="1089"/>
      <c r="J85" s="1090" t="e">
        <f t="shared" si="5"/>
        <v>#DIV/0!</v>
      </c>
      <c r="K85" s="1091"/>
      <c r="L85" s="188"/>
      <c r="M85" s="55"/>
      <c r="N85" s="1079"/>
      <c r="O85" s="1080"/>
      <c r="P85" s="1080"/>
      <c r="Q85" s="1081"/>
      <c r="R85" s="6"/>
      <c r="S85" s="6"/>
      <c r="T85" s="6"/>
    </row>
    <row r="86" spans="1:20" ht="19.5" thickBot="1" x14ac:dyDescent="0.35">
      <c r="A86" s="1092" t="s">
        <v>2</v>
      </c>
      <c r="B86" s="1093"/>
      <c r="C86" s="457">
        <f>SUM(C79:C85)</f>
        <v>0</v>
      </c>
      <c r="D86" s="457"/>
      <c r="E86" s="56">
        <f>SUM(E79:E85)</f>
        <v>0</v>
      </c>
      <c r="F86" s="1094">
        <f>SUM(F79:F85)</f>
        <v>0</v>
      </c>
      <c r="G86" s="1095">
        <f>SUM(G79:G85)</f>
        <v>0</v>
      </c>
      <c r="H86" s="1094">
        <f>SUM(H79:H85)</f>
        <v>0</v>
      </c>
      <c r="I86" s="1095">
        <f>SUM(I79:I85)</f>
        <v>0</v>
      </c>
      <c r="J86" s="1096" t="e">
        <f>E86/F86</f>
        <v>#DIV/0!</v>
      </c>
      <c r="K86" s="1097"/>
      <c r="L86" s="57"/>
      <c r="M86" s="58"/>
      <c r="N86" s="1082"/>
      <c r="O86" s="1082"/>
      <c r="P86" s="1082"/>
      <c r="Q86" s="1082"/>
      <c r="R86" s="6"/>
      <c r="S86" s="6"/>
      <c r="T86" s="6"/>
    </row>
    <row r="87" spans="1:20" ht="18.75" thickBot="1" x14ac:dyDescent="0.3">
      <c r="A87" s="273"/>
      <c r="B87" s="273"/>
      <c r="C87" s="48"/>
      <c r="D87" s="48"/>
      <c r="E87" s="48"/>
      <c r="F87" s="59"/>
      <c r="G87" s="59"/>
      <c r="H87" s="59"/>
      <c r="I87" s="59"/>
      <c r="J87" s="60"/>
      <c r="K87" s="60"/>
      <c r="L87" s="61"/>
      <c r="M87" s="62"/>
      <c r="N87" s="34"/>
      <c r="O87" s="34"/>
      <c r="P87" s="34"/>
      <c r="Q87" s="34"/>
      <c r="R87" s="6"/>
      <c r="S87" s="6"/>
      <c r="T87" s="6"/>
    </row>
    <row r="88" spans="1:20" ht="18" x14ac:dyDescent="0.25">
      <c r="A88" s="1129" t="s">
        <v>71</v>
      </c>
      <c r="B88" s="1130"/>
      <c r="C88" s="1130"/>
      <c r="D88" s="1130"/>
      <c r="E88" s="1130"/>
      <c r="F88" s="1130"/>
      <c r="G88" s="1130"/>
      <c r="H88" s="1130"/>
      <c r="I88" s="1131"/>
      <c r="J88" s="61"/>
      <c r="K88" s="61"/>
      <c r="L88" s="61"/>
      <c r="M88" s="62"/>
      <c r="N88" s="63"/>
      <c r="O88" s="13"/>
      <c r="P88" s="48"/>
      <c r="Q88" s="48"/>
      <c r="R88" s="6"/>
      <c r="S88" s="6"/>
      <c r="T88" s="6"/>
    </row>
    <row r="89" spans="1:20" ht="72" customHeight="1" x14ac:dyDescent="0.25">
      <c r="A89" s="1116" t="s">
        <v>72</v>
      </c>
      <c r="B89" s="1108"/>
      <c r="C89" s="1108"/>
      <c r="D89" s="1108"/>
      <c r="E89" s="1108"/>
      <c r="F89" s="199" t="s">
        <v>73</v>
      </c>
      <c r="G89" s="199" t="s">
        <v>934</v>
      </c>
      <c r="H89" s="1132" t="s">
        <v>74</v>
      </c>
      <c r="I89" s="1133"/>
      <c r="J89" s="61"/>
      <c r="K89" s="62"/>
      <c r="L89" s="63"/>
      <c r="M89" s="13"/>
      <c r="N89" s="48"/>
      <c r="O89" s="48"/>
      <c r="P89" s="48"/>
      <c r="Q89" s="48"/>
      <c r="R89" s="6"/>
      <c r="S89" s="6"/>
      <c r="T89" s="6"/>
    </row>
    <row r="90" spans="1:20" x14ac:dyDescent="0.25">
      <c r="A90" s="1117" t="s">
        <v>75</v>
      </c>
      <c r="B90" s="1118"/>
      <c r="C90" s="1118"/>
      <c r="D90" s="1118"/>
      <c r="E90" s="1118"/>
      <c r="F90" s="458"/>
      <c r="G90" s="459"/>
      <c r="H90" s="1119"/>
      <c r="I90" s="1120"/>
      <c r="J90" s="61"/>
      <c r="K90" s="62"/>
      <c r="L90" s="63"/>
      <c r="M90" s="13"/>
      <c r="N90" s="48"/>
      <c r="O90" s="48"/>
      <c r="P90" s="48"/>
      <c r="Q90" s="48"/>
      <c r="R90" s="6"/>
      <c r="S90" s="6"/>
      <c r="T90" s="6"/>
    </row>
    <row r="91" spans="1:20" x14ac:dyDescent="0.25">
      <c r="A91" s="1117" t="s">
        <v>76</v>
      </c>
      <c r="B91" s="1118"/>
      <c r="C91" s="1118"/>
      <c r="D91" s="1118"/>
      <c r="E91" s="1118"/>
      <c r="F91" s="458"/>
      <c r="G91" s="459"/>
      <c r="H91" s="1119"/>
      <c r="I91" s="1120"/>
      <c r="J91" s="61"/>
      <c r="K91" s="62"/>
      <c r="L91" s="63"/>
      <c r="M91" s="13"/>
      <c r="N91" s="48"/>
      <c r="O91" s="48"/>
      <c r="P91" s="48"/>
      <c r="Q91" s="48"/>
      <c r="R91" s="6"/>
      <c r="S91" s="6"/>
      <c r="T91" s="6"/>
    </row>
    <row r="92" spans="1:20" x14ac:dyDescent="0.25">
      <c r="A92" s="1117" t="s">
        <v>77</v>
      </c>
      <c r="B92" s="1118"/>
      <c r="C92" s="1118"/>
      <c r="D92" s="1118"/>
      <c r="E92" s="1118"/>
      <c r="F92" s="458"/>
      <c r="G92" s="459"/>
      <c r="H92" s="1119"/>
      <c r="I92" s="1120"/>
      <c r="J92" s="61"/>
      <c r="K92" s="62"/>
      <c r="L92" s="63"/>
      <c r="M92" s="13"/>
      <c r="N92" s="48"/>
      <c r="O92" s="48"/>
      <c r="P92" s="48"/>
      <c r="Q92" s="48"/>
      <c r="R92" s="6"/>
      <c r="S92" s="6"/>
      <c r="T92" s="6"/>
    </row>
    <row r="93" spans="1:20" ht="15" customHeight="1" thickBot="1" x14ac:dyDescent="0.3">
      <c r="A93" s="1121" t="s">
        <v>78</v>
      </c>
      <c r="B93" s="1122"/>
      <c r="C93" s="1122"/>
      <c r="D93" s="1122"/>
      <c r="E93" s="1122"/>
      <c r="F93" s="460"/>
      <c r="G93" s="461"/>
      <c r="H93" s="1123"/>
      <c r="I93" s="1124"/>
      <c r="J93" s="61"/>
      <c r="K93" s="62"/>
      <c r="L93" s="63"/>
      <c r="M93" s="13"/>
      <c r="N93" s="48"/>
      <c r="O93" s="48"/>
      <c r="P93" s="48"/>
      <c r="Q93" s="48"/>
      <c r="R93" s="6"/>
      <c r="S93" s="6"/>
      <c r="T93" s="6"/>
    </row>
    <row r="94" spans="1:20" ht="15.75" thickBot="1" x14ac:dyDescent="0.3">
      <c r="A94" s="1125" t="s">
        <v>2</v>
      </c>
      <c r="B94" s="1126"/>
      <c r="C94" s="1126"/>
      <c r="D94" s="1126"/>
      <c r="E94" s="1126"/>
      <c r="F94" s="64">
        <f>SUM(F90:F93)</f>
        <v>0</v>
      </c>
      <c r="G94" s="64">
        <f>SUM(G90:G93)</f>
        <v>0</v>
      </c>
      <c r="H94" s="1127">
        <f>SUM(H90:I93)</f>
        <v>0</v>
      </c>
      <c r="I94" s="1128"/>
      <c r="J94" s="61"/>
      <c r="K94" s="62"/>
      <c r="L94" s="63"/>
      <c r="M94" s="13"/>
      <c r="N94" s="48"/>
      <c r="O94" s="48"/>
      <c r="P94" s="48"/>
      <c r="Q94" s="48"/>
      <c r="R94" s="6"/>
      <c r="S94" s="6"/>
      <c r="T94" s="6"/>
    </row>
    <row r="95" spans="1:20" ht="15.75" thickBot="1" x14ac:dyDescent="0.3">
      <c r="A95" s="274"/>
      <c r="B95" s="65"/>
      <c r="C95" s="48"/>
      <c r="D95" s="59"/>
      <c r="E95" s="48"/>
      <c r="F95" s="59"/>
      <c r="G95" s="48"/>
      <c r="H95" s="59"/>
      <c r="I95" s="48"/>
      <c r="J95" s="61"/>
      <c r="K95" s="61"/>
      <c r="L95" s="61"/>
      <c r="M95" s="62"/>
      <c r="N95" s="63"/>
      <c r="O95" s="13"/>
      <c r="P95" s="48"/>
      <c r="Q95" s="48"/>
      <c r="R95" s="6"/>
      <c r="S95" s="6"/>
      <c r="T95" s="6"/>
    </row>
    <row r="96" spans="1:20" ht="18" x14ac:dyDescent="0.25">
      <c r="A96" s="1100" t="s">
        <v>483</v>
      </c>
      <c r="B96" s="1101"/>
      <c r="C96" s="1101"/>
      <c r="D96" s="1101"/>
      <c r="E96" s="1101"/>
      <c r="F96" s="1101"/>
      <c r="G96" s="1101"/>
      <c r="H96" s="1101"/>
      <c r="I96" s="1101"/>
      <c r="J96" s="1102" t="s">
        <v>38</v>
      </c>
      <c r="K96" s="1103"/>
      <c r="L96" s="1103"/>
      <c r="M96" s="1104"/>
      <c r="N96" s="1105" t="s">
        <v>39</v>
      </c>
      <c r="O96" s="1106"/>
      <c r="P96" s="1106"/>
      <c r="Q96" s="1107"/>
      <c r="R96" s="6"/>
      <c r="S96" s="6"/>
      <c r="T96" s="6"/>
    </row>
    <row r="97" spans="1:20" ht="15.75" customHeight="1" thickBot="1" x14ac:dyDescent="0.3">
      <c r="A97" s="275"/>
      <c r="B97" s="66"/>
      <c r="C97" s="66"/>
      <c r="D97" s="66"/>
      <c r="E97" s="66"/>
      <c r="F97" s="66"/>
      <c r="G97" s="66"/>
      <c r="H97" s="66"/>
      <c r="I97" s="66"/>
      <c r="J97" s="927" t="s">
        <v>79</v>
      </c>
      <c r="K97" s="927"/>
      <c r="L97" s="1108"/>
      <c r="M97" s="1108"/>
      <c r="N97" s="1109"/>
      <c r="O97" s="1110"/>
      <c r="P97" s="1110"/>
      <c r="Q97" s="1111"/>
      <c r="R97" s="6"/>
      <c r="S97" s="6"/>
      <c r="T97" s="6"/>
    </row>
    <row r="98" spans="1:20" ht="29.25" customHeight="1" x14ac:dyDescent="0.25">
      <c r="A98" s="1116" t="s">
        <v>42</v>
      </c>
      <c r="B98" s="927" t="s">
        <v>935</v>
      </c>
      <c r="C98" s="1136" t="s">
        <v>936</v>
      </c>
      <c r="D98" s="927" t="s">
        <v>937</v>
      </c>
      <c r="E98" s="1138" t="s">
        <v>938</v>
      </c>
      <c r="F98" s="1138" t="s">
        <v>939</v>
      </c>
      <c r="G98" s="1579" t="s">
        <v>940</v>
      </c>
      <c r="H98" s="927" t="s">
        <v>941</v>
      </c>
      <c r="I98" s="927"/>
      <c r="J98" s="927"/>
      <c r="K98" s="927"/>
      <c r="L98" s="1108"/>
      <c r="M98" s="1108"/>
      <c r="N98" s="1112"/>
      <c r="O98" s="1113"/>
      <c r="P98" s="1113"/>
      <c r="Q98" s="1114"/>
      <c r="R98" s="6"/>
      <c r="S98" s="6"/>
      <c r="T98" s="6"/>
    </row>
    <row r="99" spans="1:20" ht="29.25" customHeight="1" x14ac:dyDescent="0.25">
      <c r="A99" s="1116"/>
      <c r="B99" s="927"/>
      <c r="C99" s="1137"/>
      <c r="D99" s="927"/>
      <c r="E99" s="1139"/>
      <c r="F99" s="1139"/>
      <c r="G99" s="1580"/>
      <c r="H99" s="927"/>
      <c r="I99" s="927"/>
      <c r="J99" s="927"/>
      <c r="K99" s="927"/>
      <c r="L99" s="1108"/>
      <c r="M99" s="1108"/>
      <c r="N99" s="1112"/>
      <c r="O99" s="1113"/>
      <c r="P99" s="1113"/>
      <c r="Q99" s="1114"/>
      <c r="R99" s="6"/>
      <c r="S99" s="6"/>
      <c r="T99" s="6"/>
    </row>
    <row r="100" spans="1:20" ht="50.25" customHeight="1" x14ac:dyDescent="0.25">
      <c r="A100" s="203" t="s">
        <v>529</v>
      </c>
      <c r="B100" s="462"/>
      <c r="C100" s="818"/>
      <c r="D100" s="818"/>
      <c r="E100" s="462"/>
      <c r="F100" s="166"/>
      <c r="G100" s="820"/>
      <c r="H100" s="1134"/>
      <c r="I100" s="1134"/>
      <c r="J100" s="1135" t="e">
        <f>E100/C100</f>
        <v>#DIV/0!</v>
      </c>
      <c r="K100" s="1135"/>
      <c r="L100" s="276"/>
      <c r="M100" s="277"/>
      <c r="N100" s="1112"/>
      <c r="O100" s="1113"/>
      <c r="P100" s="1113"/>
      <c r="Q100" s="1114"/>
      <c r="R100" s="6"/>
      <c r="S100" s="6"/>
      <c r="T100" s="6"/>
    </row>
    <row r="101" spans="1:20" ht="29.25" customHeight="1" x14ac:dyDescent="0.25">
      <c r="A101" s="193" t="s">
        <v>484</v>
      </c>
      <c r="B101" s="462"/>
      <c r="C101" s="818"/>
      <c r="D101" s="818"/>
      <c r="E101" s="462"/>
      <c r="F101" s="166"/>
      <c r="G101" s="821">
        <f>$D$3*(IF(H9&gt;300,"2000000",IF(H9&gt;100,"1400000","1000000")))</f>
        <v>1000000</v>
      </c>
      <c r="H101" s="1134">
        <v>0</v>
      </c>
      <c r="I101" s="1134"/>
      <c r="J101" s="1135" t="e">
        <f>E101/C101</f>
        <v>#DIV/0!</v>
      </c>
      <c r="K101" s="1135"/>
      <c r="L101" s="276"/>
      <c r="M101" s="277"/>
      <c r="N101" s="1112"/>
      <c r="O101" s="1113"/>
      <c r="P101" s="1113"/>
      <c r="Q101" s="1114"/>
      <c r="R101" s="6"/>
      <c r="S101" s="6"/>
      <c r="T101" s="6"/>
    </row>
    <row r="102" spans="1:20" s="32" customFormat="1" ht="15.75" customHeight="1" thickBot="1" x14ac:dyDescent="0.3">
      <c r="A102" s="278" t="s">
        <v>485</v>
      </c>
      <c r="B102" s="462"/>
      <c r="C102" s="818"/>
      <c r="D102" s="818"/>
      <c r="E102" s="462"/>
      <c r="F102" s="823"/>
      <c r="G102" s="822">
        <v>0</v>
      </c>
      <c r="H102" s="1134"/>
      <c r="I102" s="1134"/>
      <c r="J102" s="1147" t="e">
        <f>E102/C102</f>
        <v>#DIV/0!</v>
      </c>
      <c r="K102" s="1147"/>
      <c r="L102" s="279"/>
      <c r="M102" s="280"/>
      <c r="N102" s="1112"/>
      <c r="O102" s="1113"/>
      <c r="P102" s="1113"/>
      <c r="Q102" s="1114"/>
    </row>
    <row r="103" spans="1:20" s="32" customFormat="1" ht="15.75" thickBot="1" x14ac:dyDescent="0.3">
      <c r="A103" s="281" t="s">
        <v>2</v>
      </c>
      <c r="B103" s="282">
        <f>SUM(B101:B102)</f>
        <v>0</v>
      </c>
      <c r="C103" s="819">
        <f>SUM(C101:D102)</f>
        <v>0</v>
      </c>
      <c r="D103" s="819"/>
      <c r="E103" s="282">
        <f>SUM(E101:E102)</f>
        <v>0</v>
      </c>
      <c r="F103" s="823"/>
      <c r="G103" s="817">
        <f>SUM(G101:G102)</f>
        <v>1000000</v>
      </c>
      <c r="H103" s="1148">
        <f>SUM(H101:I102)</f>
        <v>0</v>
      </c>
      <c r="I103" s="1148"/>
      <c r="J103" s="1149" t="e">
        <f>E103/C103</f>
        <v>#DIV/0!</v>
      </c>
      <c r="K103" s="1149"/>
      <c r="L103" s="283"/>
      <c r="M103" s="284"/>
      <c r="N103" s="1115"/>
      <c r="O103" s="1115"/>
      <c r="P103" s="1115"/>
      <c r="Q103" s="1115"/>
    </row>
    <row r="104" spans="1:20" ht="13.5" customHeight="1" thickBot="1" x14ac:dyDescent="0.3">
      <c r="A104" s="67"/>
      <c r="B104" s="67"/>
      <c r="C104" s="67"/>
      <c r="D104" s="67"/>
      <c r="E104" s="67"/>
      <c r="F104" s="67"/>
      <c r="G104" s="67"/>
      <c r="H104" s="67"/>
      <c r="I104" s="48"/>
      <c r="J104" s="48"/>
      <c r="R104" s="6"/>
      <c r="S104" s="6"/>
      <c r="T104" s="6"/>
    </row>
    <row r="105" spans="1:20" ht="18" x14ac:dyDescent="0.25">
      <c r="A105" s="1158" t="s">
        <v>7</v>
      </c>
      <c r="B105" s="1159"/>
      <c r="C105" s="1159"/>
      <c r="D105" s="1159"/>
      <c r="E105" s="1159"/>
      <c r="F105" s="1159"/>
      <c r="G105" s="1159"/>
      <c r="H105" s="1159"/>
      <c r="I105" s="1159"/>
      <c r="J105" s="1159"/>
      <c r="K105" s="1160" t="s">
        <v>38</v>
      </c>
      <c r="L105" s="1160"/>
      <c r="M105" s="1160"/>
      <c r="N105" s="1160"/>
      <c r="O105" s="1140" t="s">
        <v>39</v>
      </c>
      <c r="P105" s="1140"/>
      <c r="Q105" s="1141"/>
      <c r="R105" s="6"/>
      <c r="S105" s="6"/>
      <c r="T105" s="6"/>
    </row>
    <row r="106" spans="1:20" ht="13.5" customHeight="1" x14ac:dyDescent="0.25">
      <c r="A106" s="285"/>
      <c r="B106" s="68"/>
      <c r="C106" s="68"/>
      <c r="D106" s="69"/>
      <c r="E106" s="68"/>
      <c r="F106" s="68"/>
      <c r="G106" s="68"/>
      <c r="H106" s="68"/>
      <c r="I106" s="68"/>
      <c r="J106" s="68"/>
      <c r="K106" s="927" t="s">
        <v>68</v>
      </c>
      <c r="L106" s="927"/>
      <c r="M106" s="1108"/>
      <c r="N106" s="1108"/>
      <c r="O106" s="1142"/>
      <c r="P106" s="1142"/>
      <c r="Q106" s="1142"/>
      <c r="R106" s="6"/>
      <c r="S106" s="6"/>
      <c r="T106" s="6"/>
    </row>
    <row r="107" spans="1:20" s="71" customFormat="1" ht="57" customHeight="1" x14ac:dyDescent="0.25">
      <c r="A107" s="1144" t="s">
        <v>80</v>
      </c>
      <c r="B107" s="1145"/>
      <c r="C107" s="198" t="s">
        <v>486</v>
      </c>
      <c r="D107" s="286" t="s">
        <v>81</v>
      </c>
      <c r="E107" s="1145" t="s">
        <v>70</v>
      </c>
      <c r="F107" s="1145"/>
      <c r="G107" s="1145" t="s">
        <v>942</v>
      </c>
      <c r="H107" s="1145"/>
      <c r="I107" s="1145" t="s">
        <v>933</v>
      </c>
      <c r="J107" s="1146"/>
      <c r="K107" s="927"/>
      <c r="L107" s="927"/>
      <c r="M107" s="194"/>
      <c r="N107" s="194"/>
      <c r="O107" s="1143"/>
      <c r="P107" s="1143"/>
      <c r="Q107" s="1143"/>
    </row>
    <row r="108" spans="1:20" s="71" customFormat="1" ht="30" customHeight="1" x14ac:dyDescent="0.25">
      <c r="A108" s="1155" t="s">
        <v>351</v>
      </c>
      <c r="B108" s="1156"/>
      <c r="C108" s="1156"/>
      <c r="D108" s="1156"/>
      <c r="E108" s="1156"/>
      <c r="F108" s="1156"/>
      <c r="G108" s="1156"/>
      <c r="H108" s="1156"/>
      <c r="I108" s="1156"/>
      <c r="J108" s="1156"/>
      <c r="K108" s="1156"/>
      <c r="L108" s="1156"/>
      <c r="M108" s="1156"/>
      <c r="N108" s="1157"/>
      <c r="O108" s="1143"/>
      <c r="P108" s="1143"/>
      <c r="Q108" s="1143"/>
    </row>
    <row r="109" spans="1:20" s="71" customFormat="1" ht="66.75" customHeight="1" x14ac:dyDescent="0.25">
      <c r="A109" s="1150" t="s">
        <v>487</v>
      </c>
      <c r="B109" s="1151"/>
      <c r="C109" s="399"/>
      <c r="D109" s="197">
        <f>$D$3*C109*45000</f>
        <v>0</v>
      </c>
      <c r="E109" s="1152"/>
      <c r="F109" s="1153"/>
      <c r="G109" s="1152"/>
      <c r="H109" s="1153"/>
      <c r="I109" s="1152"/>
      <c r="J109" s="1153"/>
      <c r="K109" s="1154" t="e">
        <f>E109/G109</f>
        <v>#DIV/0!</v>
      </c>
      <c r="L109" s="1154"/>
      <c r="M109" s="287"/>
      <c r="N109" s="196"/>
      <c r="O109" s="1143"/>
      <c r="P109" s="1143"/>
      <c r="Q109" s="1143"/>
    </row>
    <row r="110" spans="1:20" s="71" customFormat="1" ht="33.75" customHeight="1" x14ac:dyDescent="0.25">
      <c r="A110" s="1150" t="s">
        <v>83</v>
      </c>
      <c r="B110" s="1151"/>
      <c r="C110" s="399"/>
      <c r="D110" s="197">
        <f>$D$3*C110*2000</f>
        <v>0</v>
      </c>
      <c r="E110" s="1152"/>
      <c r="F110" s="1153"/>
      <c r="G110" s="1152"/>
      <c r="H110" s="1153"/>
      <c r="I110" s="1152"/>
      <c r="J110" s="1153"/>
      <c r="K110" s="1154" t="e">
        <f t="shared" ref="K110:K122" si="6">E110/G110</f>
        <v>#DIV/0!</v>
      </c>
      <c r="L110" s="1154"/>
      <c r="M110" s="287"/>
      <c r="N110" s="196"/>
      <c r="O110" s="1143"/>
      <c r="P110" s="1143"/>
      <c r="Q110" s="1143"/>
    </row>
    <row r="111" spans="1:20" s="71" customFormat="1" ht="33.75" customHeight="1" x14ac:dyDescent="0.25">
      <c r="A111" s="1150" t="s">
        <v>84</v>
      </c>
      <c r="B111" s="1151"/>
      <c r="C111" s="399"/>
      <c r="D111" s="197">
        <f>$D$3*C111*5000</f>
        <v>0</v>
      </c>
      <c r="E111" s="1152"/>
      <c r="F111" s="1153"/>
      <c r="G111" s="1152"/>
      <c r="H111" s="1153"/>
      <c r="I111" s="1152"/>
      <c r="J111" s="1153"/>
      <c r="K111" s="1154" t="e">
        <f t="shared" si="6"/>
        <v>#DIV/0!</v>
      </c>
      <c r="L111" s="1154"/>
      <c r="M111" s="287"/>
      <c r="N111" s="196"/>
      <c r="O111" s="1143"/>
      <c r="P111" s="1143"/>
      <c r="Q111" s="1143"/>
    </row>
    <row r="112" spans="1:20" s="71" customFormat="1" ht="33.75" customHeight="1" x14ac:dyDescent="0.25">
      <c r="A112" s="1150" t="s">
        <v>85</v>
      </c>
      <c r="B112" s="1151"/>
      <c r="C112" s="399"/>
      <c r="D112" s="197">
        <f>$D$3*C112*92000</f>
        <v>0</v>
      </c>
      <c r="E112" s="1152"/>
      <c r="F112" s="1153"/>
      <c r="G112" s="1152"/>
      <c r="H112" s="1153"/>
      <c r="I112" s="1152"/>
      <c r="J112" s="1153"/>
      <c r="K112" s="1154" t="e">
        <f t="shared" si="6"/>
        <v>#DIV/0!</v>
      </c>
      <c r="L112" s="1154"/>
      <c r="M112" s="287"/>
      <c r="N112" s="196"/>
      <c r="O112" s="1143"/>
      <c r="P112" s="1143"/>
      <c r="Q112" s="1143"/>
    </row>
    <row r="113" spans="1:20" s="71" customFormat="1" ht="33.75" customHeight="1" x14ac:dyDescent="0.25">
      <c r="A113" s="1150" t="s">
        <v>86</v>
      </c>
      <c r="B113" s="1151"/>
      <c r="C113" s="399"/>
      <c r="D113" s="197">
        <f>$D$3*C113*45000</f>
        <v>0</v>
      </c>
      <c r="E113" s="1152"/>
      <c r="F113" s="1153"/>
      <c r="G113" s="1152"/>
      <c r="H113" s="1153"/>
      <c r="I113" s="1152"/>
      <c r="J113" s="1153"/>
      <c r="K113" s="1154" t="e">
        <f t="shared" si="6"/>
        <v>#DIV/0!</v>
      </c>
      <c r="L113" s="1154"/>
      <c r="M113" s="287"/>
      <c r="N113" s="196"/>
      <c r="O113" s="1143"/>
      <c r="P113" s="1143"/>
      <c r="Q113" s="1143"/>
    </row>
    <row r="114" spans="1:20" s="71" customFormat="1" ht="51.75" customHeight="1" x14ac:dyDescent="0.25">
      <c r="A114" s="1150" t="s">
        <v>488</v>
      </c>
      <c r="B114" s="1151"/>
      <c r="C114" s="399"/>
      <c r="D114" s="214" t="s">
        <v>489</v>
      </c>
      <c r="E114" s="1152"/>
      <c r="F114" s="1153"/>
      <c r="G114" s="1152"/>
      <c r="H114" s="1153"/>
      <c r="I114" s="1152"/>
      <c r="J114" s="1153"/>
      <c r="K114" s="1154" t="e">
        <f t="shared" si="6"/>
        <v>#DIV/0!</v>
      </c>
      <c r="L114" s="1154"/>
      <c r="M114" s="287"/>
      <c r="N114" s="196"/>
      <c r="O114" s="1143"/>
      <c r="P114" s="1143"/>
      <c r="Q114" s="1143"/>
    </row>
    <row r="115" spans="1:20" s="71" customFormat="1" ht="33.75" customHeight="1" x14ac:dyDescent="0.25">
      <c r="A115" s="1150" t="s">
        <v>87</v>
      </c>
      <c r="B115" s="1151"/>
      <c r="C115" s="399"/>
      <c r="D115" s="197">
        <f>$D$3*C115*681000+$D$3*C115*45000</f>
        <v>0</v>
      </c>
      <c r="E115" s="1152"/>
      <c r="F115" s="1153"/>
      <c r="G115" s="1152"/>
      <c r="H115" s="1153"/>
      <c r="I115" s="1152"/>
      <c r="J115" s="1153"/>
      <c r="K115" s="1154" t="e">
        <f t="shared" si="6"/>
        <v>#DIV/0!</v>
      </c>
      <c r="L115" s="1154"/>
      <c r="M115" s="287"/>
      <c r="N115" s="196"/>
      <c r="O115" s="1143"/>
      <c r="P115" s="1143"/>
      <c r="Q115" s="1143"/>
    </row>
    <row r="116" spans="1:20" s="71" customFormat="1" ht="33.75" customHeight="1" x14ac:dyDescent="0.25">
      <c r="A116" s="1150" t="s">
        <v>88</v>
      </c>
      <c r="B116" s="1151"/>
      <c r="C116" s="399"/>
      <c r="D116" s="197">
        <f>$D$3*C116*10000</f>
        <v>0</v>
      </c>
      <c r="E116" s="1152"/>
      <c r="F116" s="1153"/>
      <c r="G116" s="1152"/>
      <c r="H116" s="1153"/>
      <c r="I116" s="1152"/>
      <c r="J116" s="1153"/>
      <c r="K116" s="1154" t="e">
        <f t="shared" si="6"/>
        <v>#DIV/0!</v>
      </c>
      <c r="L116" s="1154"/>
      <c r="M116" s="287"/>
      <c r="N116" s="196"/>
      <c r="O116" s="1143"/>
      <c r="P116" s="1143"/>
      <c r="Q116" s="1143"/>
    </row>
    <row r="117" spans="1:20" s="71" customFormat="1" ht="33.75" customHeight="1" x14ac:dyDescent="0.25">
      <c r="A117" s="1150" t="s">
        <v>89</v>
      </c>
      <c r="B117" s="1151"/>
      <c r="C117" s="399"/>
      <c r="D117" s="197">
        <f>$D$3*C117*1000</f>
        <v>0</v>
      </c>
      <c r="E117" s="1152"/>
      <c r="F117" s="1153"/>
      <c r="G117" s="1152"/>
      <c r="H117" s="1153"/>
      <c r="I117" s="1152"/>
      <c r="J117" s="1153"/>
      <c r="K117" s="1154" t="e">
        <f t="shared" si="6"/>
        <v>#DIV/0!</v>
      </c>
      <c r="L117" s="1154"/>
      <c r="M117" s="287"/>
      <c r="N117" s="196"/>
      <c r="O117" s="1143"/>
      <c r="P117" s="1143"/>
      <c r="Q117" s="1143"/>
    </row>
    <row r="118" spans="1:20" s="71" customFormat="1" ht="48.75" customHeight="1" x14ac:dyDescent="0.25">
      <c r="A118" s="1150" t="s">
        <v>490</v>
      </c>
      <c r="B118" s="1151"/>
      <c r="C118" s="399"/>
      <c r="D118" s="214" t="s">
        <v>489</v>
      </c>
      <c r="E118" s="1152"/>
      <c r="F118" s="1153"/>
      <c r="G118" s="1152"/>
      <c r="H118" s="1153"/>
      <c r="I118" s="1152"/>
      <c r="J118" s="1153"/>
      <c r="K118" s="1154" t="e">
        <f t="shared" si="6"/>
        <v>#DIV/0!</v>
      </c>
      <c r="L118" s="1154"/>
      <c r="M118" s="287"/>
      <c r="N118" s="196"/>
      <c r="O118" s="1143"/>
      <c r="P118" s="1143"/>
      <c r="Q118" s="1143"/>
    </row>
    <row r="119" spans="1:20" s="71" customFormat="1" ht="48.75" customHeight="1" x14ac:dyDescent="0.25">
      <c r="A119" s="1150" t="s">
        <v>491</v>
      </c>
      <c r="B119" s="1151"/>
      <c r="C119" s="399"/>
      <c r="D119" s="214" t="s">
        <v>489</v>
      </c>
      <c r="E119" s="1152"/>
      <c r="F119" s="1153"/>
      <c r="G119" s="1152"/>
      <c r="H119" s="1153"/>
      <c r="I119" s="1152"/>
      <c r="J119" s="1153"/>
      <c r="K119" s="1154" t="e">
        <f t="shared" si="6"/>
        <v>#DIV/0!</v>
      </c>
      <c r="L119" s="1154"/>
      <c r="M119" s="287"/>
      <c r="N119" s="196"/>
      <c r="O119" s="1143"/>
      <c r="P119" s="1143"/>
      <c r="Q119" s="1143"/>
    </row>
    <row r="120" spans="1:20" s="71" customFormat="1" ht="48.75" customHeight="1" x14ac:dyDescent="0.25">
      <c r="A120" s="1150" t="s">
        <v>175</v>
      </c>
      <c r="B120" s="1151"/>
      <c r="C120" s="399"/>
      <c r="D120" s="214" t="s">
        <v>489</v>
      </c>
      <c r="E120" s="1152"/>
      <c r="F120" s="1153"/>
      <c r="G120" s="1152"/>
      <c r="H120" s="1153"/>
      <c r="I120" s="1152"/>
      <c r="J120" s="1153"/>
      <c r="K120" s="1154" t="e">
        <f t="shared" si="6"/>
        <v>#DIV/0!</v>
      </c>
      <c r="L120" s="1154"/>
      <c r="M120" s="287"/>
      <c r="N120" s="196"/>
      <c r="O120" s="1143"/>
      <c r="P120" s="1143"/>
      <c r="Q120" s="1143"/>
    </row>
    <row r="121" spans="1:20" s="71" customFormat="1" ht="48.75" customHeight="1" x14ac:dyDescent="0.25">
      <c r="A121" s="1150" t="s">
        <v>492</v>
      </c>
      <c r="B121" s="1151"/>
      <c r="C121" s="399"/>
      <c r="D121" s="214" t="s">
        <v>489</v>
      </c>
      <c r="E121" s="1152"/>
      <c r="F121" s="1153"/>
      <c r="G121" s="1152"/>
      <c r="H121" s="1153"/>
      <c r="I121" s="1152"/>
      <c r="J121" s="1153"/>
      <c r="K121" s="1154" t="e">
        <f t="shared" si="6"/>
        <v>#DIV/0!</v>
      </c>
      <c r="L121" s="1154"/>
      <c r="M121" s="287"/>
      <c r="N121" s="196"/>
      <c r="O121" s="1143"/>
      <c r="P121" s="1143"/>
      <c r="Q121" s="1143"/>
    </row>
    <row r="122" spans="1:20" s="71" customFormat="1" ht="33.75" customHeight="1" x14ac:dyDescent="0.25">
      <c r="A122" s="1151" t="s">
        <v>493</v>
      </c>
      <c r="B122" s="1151"/>
      <c r="C122" s="399"/>
      <c r="D122" s="197"/>
      <c r="E122" s="1161"/>
      <c r="F122" s="1161"/>
      <c r="G122" s="1161"/>
      <c r="H122" s="1161"/>
      <c r="I122" s="1161"/>
      <c r="J122" s="1161"/>
      <c r="K122" s="1154" t="e">
        <f t="shared" si="6"/>
        <v>#DIV/0!</v>
      </c>
      <c r="L122" s="1154"/>
      <c r="M122" s="287"/>
      <c r="N122" s="196"/>
      <c r="O122" s="1143"/>
      <c r="P122" s="1143"/>
      <c r="Q122" s="1143"/>
    </row>
    <row r="123" spans="1:20" s="71" customFormat="1" ht="33.75" customHeight="1" x14ac:dyDescent="0.25">
      <c r="A123" s="1162" t="s">
        <v>494</v>
      </c>
      <c r="B123" s="1162"/>
      <c r="C123" s="288"/>
      <c r="D123" s="289">
        <f>SUM(D109:D122)</f>
        <v>0</v>
      </c>
      <c r="E123" s="1163">
        <f t="shared" ref="E123:J123" si="7">SUM(E109:E122)</f>
        <v>0</v>
      </c>
      <c r="F123" s="1164">
        <f t="shared" si="7"/>
        <v>0</v>
      </c>
      <c r="G123" s="1163">
        <f t="shared" si="7"/>
        <v>0</v>
      </c>
      <c r="H123" s="1164">
        <f t="shared" si="7"/>
        <v>0</v>
      </c>
      <c r="I123" s="1163">
        <f t="shared" si="7"/>
        <v>0</v>
      </c>
      <c r="J123" s="1164">
        <f t="shared" si="7"/>
        <v>0</v>
      </c>
      <c r="K123" s="1165" t="e">
        <f>E123/G123</f>
        <v>#DIV/0!</v>
      </c>
      <c r="L123" s="1165"/>
      <c r="M123" s="290"/>
      <c r="N123" s="291"/>
      <c r="O123" s="1143"/>
      <c r="P123" s="1143"/>
      <c r="Q123" s="1143"/>
    </row>
    <row r="124" spans="1:20" s="71" customFormat="1" ht="23.25" customHeight="1" x14ac:dyDescent="0.25">
      <c r="A124" s="1155" t="s">
        <v>495</v>
      </c>
      <c r="B124" s="1156"/>
      <c r="C124" s="1156"/>
      <c r="D124" s="1156"/>
      <c r="E124" s="1156"/>
      <c r="F124" s="1156"/>
      <c r="G124" s="1156"/>
      <c r="H124" s="1156"/>
      <c r="I124" s="1156"/>
      <c r="J124" s="1156"/>
      <c r="K124" s="1156"/>
      <c r="L124" s="1156"/>
      <c r="M124" s="1156"/>
      <c r="N124" s="1157"/>
      <c r="O124" s="1143"/>
      <c r="P124" s="1143"/>
      <c r="Q124" s="1143"/>
    </row>
    <row r="125" spans="1:20" s="184" customFormat="1" ht="39" customHeight="1" x14ac:dyDescent="0.25">
      <c r="A125" s="1150" t="s">
        <v>82</v>
      </c>
      <c r="B125" s="1151"/>
      <c r="C125" s="1168"/>
      <c r="D125" s="1169">
        <f>$D$3*C125*45000</f>
        <v>0</v>
      </c>
      <c r="E125" s="1170"/>
      <c r="F125" s="1171"/>
      <c r="G125" s="1170"/>
      <c r="H125" s="1171"/>
      <c r="I125" s="1170"/>
      <c r="J125" s="1171"/>
      <c r="K125" s="1167" t="e">
        <f>E125/G125</f>
        <v>#DIV/0!</v>
      </c>
      <c r="L125" s="1167"/>
      <c r="M125" s="1167"/>
      <c r="N125" s="1064"/>
      <c r="O125" s="1143"/>
      <c r="P125" s="1143"/>
      <c r="Q125" s="1143"/>
    </row>
    <row r="126" spans="1:20" s="184" customFormat="1" ht="21" customHeight="1" x14ac:dyDescent="0.25">
      <c r="A126" s="1150"/>
      <c r="B126" s="1151"/>
      <c r="C126" s="1168"/>
      <c r="D126" s="1169"/>
      <c r="E126" s="1172"/>
      <c r="F126" s="1173"/>
      <c r="G126" s="1172"/>
      <c r="H126" s="1173"/>
      <c r="I126" s="1172"/>
      <c r="J126" s="1173"/>
      <c r="K126" s="1167"/>
      <c r="L126" s="1167"/>
      <c r="M126" s="1167"/>
      <c r="N126" s="1064"/>
      <c r="O126" s="1143"/>
      <c r="P126" s="1143"/>
      <c r="Q126" s="1143"/>
    </row>
    <row r="127" spans="1:20" ht="28.5" customHeight="1" x14ac:dyDescent="0.25">
      <c r="A127" s="1062" t="s">
        <v>83</v>
      </c>
      <c r="B127" s="1166"/>
      <c r="C127" s="400"/>
      <c r="D127" s="197">
        <f>$D$3*C127*2000</f>
        <v>0</v>
      </c>
      <c r="E127" s="1068"/>
      <c r="F127" s="1069"/>
      <c r="G127" s="1068"/>
      <c r="H127" s="1069"/>
      <c r="I127" s="1068"/>
      <c r="J127" s="1069"/>
      <c r="K127" s="1167" t="e">
        <f>E127/G127</f>
        <v>#DIV/0!</v>
      </c>
      <c r="L127" s="1167"/>
      <c r="M127" s="402"/>
      <c r="N127" s="396"/>
      <c r="O127" s="1143"/>
      <c r="P127" s="1143"/>
      <c r="Q127" s="1143"/>
      <c r="R127" s="6"/>
      <c r="S127" s="6"/>
      <c r="T127" s="6"/>
    </row>
    <row r="128" spans="1:20" ht="28.5" customHeight="1" x14ac:dyDescent="0.25">
      <c r="A128" s="1062" t="s">
        <v>84</v>
      </c>
      <c r="B128" s="1063"/>
      <c r="C128" s="400"/>
      <c r="D128" s="197">
        <f>$D$3*C128*5000</f>
        <v>0</v>
      </c>
      <c r="E128" s="1068"/>
      <c r="F128" s="1069"/>
      <c r="G128" s="1068"/>
      <c r="H128" s="1069"/>
      <c r="I128" s="1068"/>
      <c r="J128" s="1069"/>
      <c r="K128" s="1167" t="e">
        <f t="shared" ref="K128:K136" si="8">E128/G128</f>
        <v>#DIV/0!</v>
      </c>
      <c r="L128" s="1167"/>
      <c r="M128" s="402"/>
      <c r="N128" s="396"/>
      <c r="O128" s="1143"/>
      <c r="P128" s="1143"/>
      <c r="Q128" s="1143"/>
      <c r="R128" s="6"/>
      <c r="S128" s="6"/>
      <c r="T128" s="6"/>
    </row>
    <row r="129" spans="1:20" ht="28.5" customHeight="1" x14ac:dyDescent="0.25">
      <c r="A129" s="1062" t="s">
        <v>85</v>
      </c>
      <c r="B129" s="1063"/>
      <c r="C129" s="400"/>
      <c r="D129" s="197">
        <f>$D$3*C129*92000</f>
        <v>0</v>
      </c>
      <c r="E129" s="1068"/>
      <c r="F129" s="1069"/>
      <c r="G129" s="1068"/>
      <c r="H129" s="1069"/>
      <c r="I129" s="1068"/>
      <c r="J129" s="1069"/>
      <c r="K129" s="1167" t="e">
        <f t="shared" si="8"/>
        <v>#DIV/0!</v>
      </c>
      <c r="L129" s="1167"/>
      <c r="M129" s="402"/>
      <c r="N129" s="396"/>
      <c r="O129" s="1143"/>
      <c r="P129" s="1143"/>
      <c r="Q129" s="1143"/>
      <c r="R129" s="6"/>
      <c r="S129" s="6"/>
      <c r="T129" s="6"/>
    </row>
    <row r="130" spans="1:20" ht="28.5" customHeight="1" x14ac:dyDescent="0.25">
      <c r="A130" s="1062" t="s">
        <v>86</v>
      </c>
      <c r="B130" s="1166"/>
      <c r="C130" s="400"/>
      <c r="D130" s="197">
        <f>$D$3*C130*45000</f>
        <v>0</v>
      </c>
      <c r="E130" s="1068"/>
      <c r="F130" s="1069"/>
      <c r="G130" s="1068"/>
      <c r="H130" s="1069"/>
      <c r="I130" s="1068"/>
      <c r="J130" s="1069"/>
      <c r="K130" s="1167" t="e">
        <f t="shared" si="8"/>
        <v>#DIV/0!</v>
      </c>
      <c r="L130" s="1167"/>
      <c r="M130" s="402"/>
      <c r="N130" s="396"/>
      <c r="O130" s="1143"/>
      <c r="P130" s="1143"/>
      <c r="Q130" s="1143"/>
      <c r="R130" s="6"/>
      <c r="S130" s="6"/>
      <c r="T130" s="6"/>
    </row>
    <row r="131" spans="1:20" ht="28.5" customHeight="1" x14ac:dyDescent="0.25">
      <c r="A131" s="1062" t="s">
        <v>87</v>
      </c>
      <c r="B131" s="1166"/>
      <c r="C131" s="400"/>
      <c r="D131" s="197">
        <f>$D$3*C131*681000+$D$3*C131*45000</f>
        <v>0</v>
      </c>
      <c r="E131" s="1068"/>
      <c r="F131" s="1069"/>
      <c r="G131" s="1068"/>
      <c r="H131" s="1069"/>
      <c r="I131" s="1068"/>
      <c r="J131" s="1069"/>
      <c r="K131" s="1167" t="e">
        <f t="shared" si="8"/>
        <v>#DIV/0!</v>
      </c>
      <c r="L131" s="1167"/>
      <c r="M131" s="402"/>
      <c r="N131" s="396"/>
      <c r="O131" s="1143"/>
      <c r="P131" s="1143"/>
      <c r="Q131" s="1143"/>
      <c r="R131" s="6"/>
      <c r="S131" s="6"/>
      <c r="T131" s="6"/>
    </row>
    <row r="132" spans="1:20" ht="28.5" customHeight="1" x14ac:dyDescent="0.25">
      <c r="A132" s="1062" t="s">
        <v>790</v>
      </c>
      <c r="B132" s="1166"/>
      <c r="C132" s="400"/>
      <c r="D132" s="197">
        <f>$D$3*C132*10000</f>
        <v>0</v>
      </c>
      <c r="E132" s="1068"/>
      <c r="F132" s="1069"/>
      <c r="G132" s="1068"/>
      <c r="H132" s="1069"/>
      <c r="I132" s="1068"/>
      <c r="J132" s="1069"/>
      <c r="K132" s="1167" t="e">
        <f t="shared" si="8"/>
        <v>#DIV/0!</v>
      </c>
      <c r="L132" s="1167"/>
      <c r="M132" s="402"/>
      <c r="N132" s="396"/>
      <c r="O132" s="1143"/>
      <c r="P132" s="1143"/>
      <c r="Q132" s="1143"/>
      <c r="R132" s="6"/>
      <c r="S132" s="6"/>
      <c r="T132" s="6"/>
    </row>
    <row r="133" spans="1:20" ht="28.5" customHeight="1" x14ac:dyDescent="0.25">
      <c r="A133" s="1062" t="s">
        <v>789</v>
      </c>
      <c r="B133" s="1166"/>
      <c r="C133" s="806"/>
      <c r="D133" s="807">
        <f>$D$3*C133*10000</f>
        <v>0</v>
      </c>
      <c r="E133" s="1068"/>
      <c r="F133" s="1069"/>
      <c r="G133" s="1068"/>
      <c r="H133" s="1069"/>
      <c r="I133" s="1068"/>
      <c r="J133" s="1069"/>
      <c r="K133" s="1167" t="e">
        <f t="shared" ref="K133" si="9">E133/G133</f>
        <v>#DIV/0!</v>
      </c>
      <c r="L133" s="1167"/>
      <c r="M133" s="805"/>
      <c r="N133" s="808"/>
      <c r="O133" s="1143"/>
      <c r="P133" s="1143"/>
      <c r="Q133" s="1143"/>
      <c r="R133" s="6"/>
      <c r="S133" s="6"/>
      <c r="T133" s="6"/>
    </row>
    <row r="134" spans="1:20" ht="28.5" customHeight="1" x14ac:dyDescent="0.25">
      <c r="A134" s="1181" t="s">
        <v>89</v>
      </c>
      <c r="B134" s="1182"/>
      <c r="C134" s="400"/>
      <c r="D134" s="197">
        <f>$D$3*C134*1000</f>
        <v>0</v>
      </c>
      <c r="E134" s="1068"/>
      <c r="F134" s="1069"/>
      <c r="G134" s="1068"/>
      <c r="H134" s="1069"/>
      <c r="I134" s="1068"/>
      <c r="J134" s="1069"/>
      <c r="K134" s="1167" t="e">
        <f t="shared" si="8"/>
        <v>#DIV/0!</v>
      </c>
      <c r="L134" s="1167"/>
      <c r="M134" s="402"/>
      <c r="N134" s="396"/>
      <c r="O134" s="1143"/>
      <c r="P134" s="1143"/>
      <c r="Q134" s="1143"/>
      <c r="R134" s="6"/>
      <c r="S134" s="6"/>
      <c r="T134" s="6"/>
    </row>
    <row r="135" spans="1:20" ht="28.5" customHeight="1" x14ac:dyDescent="0.25">
      <c r="A135" s="1181" t="s">
        <v>493</v>
      </c>
      <c r="B135" s="1182"/>
      <c r="C135" s="400"/>
      <c r="D135" s="292"/>
      <c r="E135" s="1068"/>
      <c r="F135" s="1069"/>
      <c r="G135" s="1068"/>
      <c r="H135" s="1069"/>
      <c r="I135" s="1068"/>
      <c r="J135" s="1069"/>
      <c r="K135" s="1167" t="e">
        <f t="shared" si="8"/>
        <v>#DIV/0!</v>
      </c>
      <c r="L135" s="1167"/>
      <c r="M135" s="402"/>
      <c r="N135" s="396"/>
      <c r="O135" s="1143"/>
      <c r="P135" s="1143"/>
      <c r="Q135" s="1143"/>
      <c r="R135" s="6"/>
      <c r="S135" s="6"/>
      <c r="T135" s="6"/>
    </row>
    <row r="136" spans="1:20" ht="28.5" customHeight="1" x14ac:dyDescent="0.25">
      <c r="A136" s="1174" t="s">
        <v>493</v>
      </c>
      <c r="B136" s="1175"/>
      <c r="C136" s="401"/>
      <c r="D136" s="293"/>
      <c r="E136" s="1170"/>
      <c r="F136" s="1171"/>
      <c r="G136" s="1170"/>
      <c r="H136" s="1171"/>
      <c r="I136" s="1170"/>
      <c r="J136" s="1171"/>
      <c r="K136" s="1176" t="e">
        <f t="shared" si="8"/>
        <v>#DIV/0!</v>
      </c>
      <c r="L136" s="1176"/>
      <c r="M136" s="403"/>
      <c r="N136" s="397"/>
      <c r="O136" s="1143"/>
      <c r="P136" s="1143"/>
      <c r="Q136" s="1143"/>
      <c r="R136" s="6"/>
      <c r="S136" s="6"/>
      <c r="T136" s="6"/>
    </row>
    <row r="137" spans="1:20" s="72" customFormat="1" ht="24" customHeight="1" thickBot="1" x14ac:dyDescent="0.3">
      <c r="A137" s="1177" t="s">
        <v>496</v>
      </c>
      <c r="B137" s="1177"/>
      <c r="C137" s="294"/>
      <c r="D137" s="295">
        <f>SUM(D125:D136)</f>
        <v>0</v>
      </c>
      <c r="E137" s="1178">
        <f t="shared" ref="E137:I137" si="10">SUM(E125:E136)</f>
        <v>0</v>
      </c>
      <c r="F137" s="1179"/>
      <c r="G137" s="1178">
        <f t="shared" si="10"/>
        <v>0</v>
      </c>
      <c r="H137" s="1179"/>
      <c r="I137" s="1178">
        <f t="shared" si="10"/>
        <v>0</v>
      </c>
      <c r="J137" s="1179"/>
      <c r="K137" s="1180" t="e">
        <f>E137/G137</f>
        <v>#DIV/0!</v>
      </c>
      <c r="L137" s="1180"/>
      <c r="M137" s="296"/>
      <c r="N137" s="295"/>
      <c r="O137" s="1143"/>
      <c r="P137" s="1143"/>
      <c r="Q137" s="1143"/>
    </row>
    <row r="138" spans="1:20" s="300" customFormat="1" ht="24" customHeight="1" thickBot="1" x14ac:dyDescent="0.3">
      <c r="A138" s="1197" t="s">
        <v>2</v>
      </c>
      <c r="B138" s="1198"/>
      <c r="C138" s="1198"/>
      <c r="D138" s="297">
        <f>SUM(D123,D137)</f>
        <v>0</v>
      </c>
      <c r="E138" s="1199">
        <f>SUM(E123,E137)</f>
        <v>0</v>
      </c>
      <c r="F138" s="1199"/>
      <c r="G138" s="1199">
        <f>SUM(G123,G137)</f>
        <v>0</v>
      </c>
      <c r="H138" s="1199"/>
      <c r="I138" s="1199">
        <f>SUM(I123,I137)</f>
        <v>0</v>
      </c>
      <c r="J138" s="1199"/>
      <c r="K138" s="1200" t="e">
        <f>E138/G138</f>
        <v>#DIV/0!</v>
      </c>
      <c r="L138" s="1200"/>
      <c r="M138" s="298"/>
      <c r="N138" s="299"/>
      <c r="O138" s="1143"/>
      <c r="P138" s="1143"/>
      <c r="Q138" s="1143"/>
    </row>
    <row r="139" spans="1:20" ht="15.75" thickBot="1" x14ac:dyDescent="0.3">
      <c r="R139" s="6"/>
      <c r="S139" s="6"/>
      <c r="T139" s="6"/>
    </row>
    <row r="140" spans="1:20" ht="18" x14ac:dyDescent="0.25">
      <c r="A140" s="1201" t="s">
        <v>8</v>
      </c>
      <c r="B140" s="1202"/>
      <c r="C140" s="1202"/>
      <c r="D140" s="1202"/>
      <c r="E140" s="1202"/>
      <c r="F140" s="1202"/>
      <c r="G140" s="1202"/>
      <c r="H140" s="1202"/>
      <c r="I140" s="1202"/>
      <c r="J140" s="1203"/>
      <c r="K140" s="1160" t="s">
        <v>38</v>
      </c>
      <c r="L140" s="1160"/>
      <c r="M140" s="1160"/>
      <c r="N140" s="1160"/>
      <c r="O140" s="1191" t="s">
        <v>39</v>
      </c>
      <c r="P140" s="1192"/>
      <c r="Q140" s="1193"/>
      <c r="R140" s="6"/>
      <c r="S140" s="6"/>
      <c r="T140" s="6"/>
    </row>
    <row r="141" spans="1:20" s="9" customFormat="1" ht="15" customHeight="1" x14ac:dyDescent="0.25">
      <c r="A141" s="73"/>
      <c r="B141" s="74"/>
      <c r="C141" s="75"/>
      <c r="D141" s="75"/>
      <c r="E141" s="76"/>
      <c r="F141" s="75"/>
      <c r="G141" s="75"/>
      <c r="H141" s="75"/>
      <c r="I141" s="76"/>
      <c r="J141" s="76"/>
      <c r="K141" s="1194" t="s">
        <v>68</v>
      </c>
      <c r="L141" s="1194"/>
      <c r="M141" s="1058"/>
      <c r="N141" s="1058"/>
      <c r="O141" s="1076"/>
      <c r="P141" s="1077"/>
      <c r="Q141" s="1078"/>
    </row>
    <row r="142" spans="1:20" s="9" customFormat="1" ht="47.25" customHeight="1" x14ac:dyDescent="0.25">
      <c r="A142" s="301" t="s">
        <v>497</v>
      </c>
      <c r="B142" s="195" t="s">
        <v>69</v>
      </c>
      <c r="C142" s="1194" t="s">
        <v>70</v>
      </c>
      <c r="D142" s="1194"/>
      <c r="E142" s="1194" t="s">
        <v>943</v>
      </c>
      <c r="F142" s="1194"/>
      <c r="G142" s="1194"/>
      <c r="H142" s="373" t="s">
        <v>565</v>
      </c>
      <c r="I142" s="374" t="s">
        <v>566</v>
      </c>
      <c r="J142" s="371" t="s">
        <v>933</v>
      </c>
      <c r="K142" s="1194"/>
      <c r="L142" s="1194"/>
      <c r="M142" s="185"/>
      <c r="N142" s="302"/>
      <c r="O142" s="1079"/>
      <c r="P142" s="1080"/>
      <c r="Q142" s="1081"/>
    </row>
    <row r="143" spans="1:20" s="78" customFormat="1" ht="15.75" x14ac:dyDescent="0.25">
      <c r="A143" s="303" t="s">
        <v>201</v>
      </c>
      <c r="B143" s="304"/>
      <c r="C143" s="1196"/>
      <c r="D143" s="1196"/>
      <c r="E143" s="1196"/>
      <c r="F143" s="1196"/>
      <c r="G143" s="1196"/>
      <c r="H143" s="404"/>
      <c r="I143" s="405"/>
      <c r="J143" s="406"/>
      <c r="K143" s="1183" t="e">
        <f>C143/E143</f>
        <v>#DIV/0!</v>
      </c>
      <c r="L143" s="1183"/>
      <c r="M143" s="407"/>
      <c r="N143" s="408"/>
      <c r="O143" s="1079"/>
      <c r="P143" s="1080"/>
      <c r="Q143" s="1081"/>
    </row>
    <row r="144" spans="1:20" s="78" customFormat="1" ht="16.5" thickBot="1" x14ac:dyDescent="0.3">
      <c r="A144" s="305" t="s">
        <v>24</v>
      </c>
      <c r="B144" s="306">
        <f>$D$3*(H9/10)*21000</f>
        <v>0</v>
      </c>
      <c r="C144" s="1184"/>
      <c r="D144" s="1184"/>
      <c r="E144" s="1184"/>
      <c r="F144" s="1184"/>
      <c r="G144" s="1184"/>
      <c r="H144" s="405"/>
      <c r="I144" s="405"/>
      <c r="J144" s="409"/>
      <c r="K144" s="1185" t="e">
        <f>C144/E144</f>
        <v>#DIV/0!</v>
      </c>
      <c r="L144" s="1185"/>
      <c r="M144" s="410"/>
      <c r="N144" s="411"/>
      <c r="O144" s="1079"/>
      <c r="P144" s="1080"/>
      <c r="Q144" s="1081"/>
    </row>
    <row r="145" spans="1:20" s="78" customFormat="1" ht="16.5" thickBot="1" x14ac:dyDescent="0.3">
      <c r="A145" s="307" t="s">
        <v>2</v>
      </c>
      <c r="B145" s="95">
        <f>SUM(B143:B144)</f>
        <v>0</v>
      </c>
      <c r="C145" s="1186">
        <f>SUM(C143:D144)</f>
        <v>0</v>
      </c>
      <c r="D145" s="1186"/>
      <c r="E145" s="1187">
        <f>SUM(E143:F144)</f>
        <v>0</v>
      </c>
      <c r="F145" s="1188"/>
      <c r="G145" s="1189">
        <f>SUM(G143:J144)</f>
        <v>0</v>
      </c>
      <c r="H145" s="372"/>
      <c r="I145" s="372"/>
      <c r="J145" s="372">
        <f>SUM(H143:I144)</f>
        <v>0</v>
      </c>
      <c r="K145" s="1190" t="e">
        <f>C145/E145</f>
        <v>#DIV/0!</v>
      </c>
      <c r="L145" s="1190"/>
      <c r="M145" s="308"/>
      <c r="N145" s="77"/>
      <c r="O145" s="1082"/>
      <c r="P145" s="1082"/>
      <c r="Q145" s="1195"/>
    </row>
    <row r="146" spans="1:20" s="85" customFormat="1" ht="16.5" thickBot="1" x14ac:dyDescent="0.3">
      <c r="A146" s="79"/>
      <c r="B146" s="80"/>
      <c r="C146" s="80"/>
      <c r="D146" s="80"/>
      <c r="E146" s="80"/>
      <c r="F146" s="81"/>
      <c r="G146" s="81"/>
      <c r="H146" s="82"/>
      <c r="I146" s="82"/>
      <c r="J146" s="83"/>
      <c r="K146" s="84"/>
      <c r="L146" s="34"/>
      <c r="M146" s="34"/>
      <c r="N146" s="34"/>
      <c r="O146" s="34"/>
    </row>
    <row r="147" spans="1:20" ht="18" x14ac:dyDescent="0.25">
      <c r="A147" s="1210" t="s">
        <v>498</v>
      </c>
      <c r="B147" s="1211"/>
      <c r="C147" s="1211"/>
      <c r="D147" s="1202"/>
      <c r="E147" s="1211"/>
      <c r="F147" s="1211"/>
      <c r="G147" s="1211"/>
      <c r="H147" s="1211"/>
      <c r="I147" s="1211"/>
      <c r="J147" s="1212"/>
      <c r="K147" s="1213" t="s">
        <v>38</v>
      </c>
      <c r="L147" s="1214"/>
      <c r="M147" s="1214"/>
      <c r="N147" s="1215" t="s">
        <v>39</v>
      </c>
      <c r="O147" s="1216"/>
      <c r="P147" s="1216"/>
      <c r="Q147" s="1217"/>
      <c r="R147" s="6"/>
      <c r="S147" s="6"/>
      <c r="T147" s="6"/>
    </row>
    <row r="148" spans="1:20" ht="15" customHeight="1" x14ac:dyDescent="0.25">
      <c r="A148" s="309"/>
      <c r="B148" s="86"/>
      <c r="C148" s="86"/>
      <c r="D148" s="87"/>
      <c r="E148" s="86"/>
      <c r="F148" s="86"/>
      <c r="G148" s="86"/>
      <c r="H148" s="86"/>
      <c r="I148" s="86"/>
      <c r="J148" s="88"/>
      <c r="K148" s="1218" t="s">
        <v>68</v>
      </c>
      <c r="L148" s="1058" t="s">
        <v>41</v>
      </c>
      <c r="M148" s="1220"/>
      <c r="N148" s="1221"/>
      <c r="O148" s="1222"/>
      <c r="P148" s="1222"/>
      <c r="Q148" s="1223"/>
      <c r="R148" s="6"/>
      <c r="S148" s="6"/>
      <c r="T148" s="6"/>
    </row>
    <row r="149" spans="1:20" s="14" customFormat="1" ht="63" customHeight="1" x14ac:dyDescent="0.25">
      <c r="A149" s="89" t="s">
        <v>90</v>
      </c>
      <c r="B149" s="202" t="s">
        <v>91</v>
      </c>
      <c r="C149" s="202" t="s">
        <v>944</v>
      </c>
      <c r="D149" s="310" t="s">
        <v>479</v>
      </c>
      <c r="E149" s="1229" t="s">
        <v>92</v>
      </c>
      <c r="F149" s="1229"/>
      <c r="G149" s="1230" t="s">
        <v>932</v>
      </c>
      <c r="H149" s="1229"/>
      <c r="I149" s="1229" t="s">
        <v>933</v>
      </c>
      <c r="J149" s="1231"/>
      <c r="K149" s="1219"/>
      <c r="L149" s="185" t="s">
        <v>47</v>
      </c>
      <c r="M149" s="201" t="s">
        <v>48</v>
      </c>
      <c r="N149" s="1224"/>
      <c r="O149" s="1225"/>
      <c r="P149" s="1225"/>
      <c r="Q149" s="1226"/>
    </row>
    <row r="150" spans="1:20" s="14" customFormat="1" ht="18" customHeight="1" x14ac:dyDescent="0.25">
      <c r="A150" s="250" t="s">
        <v>499</v>
      </c>
      <c r="B150" s="416">
        <v>0</v>
      </c>
      <c r="C150" s="400">
        <v>0</v>
      </c>
      <c r="D150" s="23">
        <f>$D$3*C150*210000</f>
        <v>0</v>
      </c>
      <c r="E150" s="1068"/>
      <c r="F150" s="1069"/>
      <c r="G150" s="1204"/>
      <c r="H150" s="1205"/>
      <c r="I150" s="1204">
        <v>0</v>
      </c>
      <c r="J150" s="1206"/>
      <c r="K150" s="90" t="e">
        <f>E150/G150</f>
        <v>#DIV/0!</v>
      </c>
      <c r="L150" s="311"/>
      <c r="M150" s="292"/>
      <c r="N150" s="1224"/>
      <c r="O150" s="1225"/>
      <c r="P150" s="1225"/>
      <c r="Q150" s="1226"/>
    </row>
    <row r="151" spans="1:20" s="14" customFormat="1" ht="18" customHeight="1" x14ac:dyDescent="0.25">
      <c r="A151" s="250" t="s">
        <v>500</v>
      </c>
      <c r="B151" s="416">
        <v>0</v>
      </c>
      <c r="C151" s="400">
        <v>0</v>
      </c>
      <c r="D151" s="23">
        <f>$D$3*C151*210000</f>
        <v>0</v>
      </c>
      <c r="E151" s="1068"/>
      <c r="F151" s="1069"/>
      <c r="G151" s="1204"/>
      <c r="H151" s="1205"/>
      <c r="I151" s="1204"/>
      <c r="J151" s="1206"/>
      <c r="K151" s="90" t="e">
        <f>E151/G151</f>
        <v>#DIV/0!</v>
      </c>
      <c r="L151" s="311"/>
      <c r="M151" s="292"/>
      <c r="N151" s="1224"/>
      <c r="O151" s="1225"/>
      <c r="P151" s="1225"/>
      <c r="Q151" s="1226"/>
    </row>
    <row r="152" spans="1:20" x14ac:dyDescent="0.25">
      <c r="A152" s="250" t="s">
        <v>93</v>
      </c>
      <c r="B152" s="416">
        <v>0</v>
      </c>
      <c r="C152" s="400">
        <v>0</v>
      </c>
      <c r="D152" s="23">
        <f>$D$3*C152*210000</f>
        <v>0</v>
      </c>
      <c r="E152" s="1068">
        <v>0</v>
      </c>
      <c r="F152" s="1069" t="e">
        <f>SUM(#REF!)</f>
        <v>#REF!</v>
      </c>
      <c r="G152" s="1204">
        <v>0</v>
      </c>
      <c r="H152" s="1205" t="e">
        <f>SUM(#REF!)</f>
        <v>#REF!</v>
      </c>
      <c r="I152" s="1204">
        <v>0</v>
      </c>
      <c r="J152" s="1206" t="e">
        <f>SUM(#REF!)</f>
        <v>#REF!</v>
      </c>
      <c r="K152" s="90" t="e">
        <f>E152/G152</f>
        <v>#DIV/0!</v>
      </c>
      <c r="L152" s="312"/>
      <c r="M152" s="292"/>
      <c r="N152" s="1224"/>
      <c r="O152" s="1225"/>
      <c r="P152" s="1225"/>
      <c r="Q152" s="1226"/>
      <c r="R152" s="6"/>
      <c r="S152" s="6"/>
      <c r="T152" s="6"/>
    </row>
    <row r="153" spans="1:20" x14ac:dyDescent="0.25">
      <c r="A153" s="313" t="s">
        <v>94</v>
      </c>
      <c r="B153" s="417">
        <f>(D60+E60)</f>
        <v>0</v>
      </c>
      <c r="C153" s="400">
        <v>0</v>
      </c>
      <c r="D153" s="264">
        <f>$D$3*C153*50000</f>
        <v>0</v>
      </c>
      <c r="E153" s="1068">
        <v>0</v>
      </c>
      <c r="F153" s="1069" t="e">
        <f>SUM(#REF!)</f>
        <v>#REF!</v>
      </c>
      <c r="G153" s="1204">
        <v>0</v>
      </c>
      <c r="H153" s="1205" t="e">
        <f>SUM(#REF!)</f>
        <v>#REF!</v>
      </c>
      <c r="I153" s="1204">
        <v>0</v>
      </c>
      <c r="J153" s="1206" t="e">
        <f>SUM(#REF!)</f>
        <v>#REF!</v>
      </c>
      <c r="K153" s="90" t="e">
        <f t="shared" ref="K153:K159" si="11">E153/G153</f>
        <v>#DIV/0!</v>
      </c>
      <c r="L153" s="92"/>
      <c r="M153" s="93"/>
      <c r="N153" s="1224"/>
      <c r="O153" s="1225"/>
      <c r="P153" s="1225"/>
      <c r="Q153" s="1226"/>
      <c r="R153" s="6"/>
      <c r="S153" s="6"/>
      <c r="T153" s="6"/>
    </row>
    <row r="154" spans="1:20" x14ac:dyDescent="0.25">
      <c r="A154" s="314" t="s">
        <v>95</v>
      </c>
      <c r="B154" s="315">
        <f>B155+B156</f>
        <v>0</v>
      </c>
      <c r="C154" s="315">
        <f>C155+C156</f>
        <v>0</v>
      </c>
      <c r="D154" s="316">
        <f t="shared" ref="D154:J154" si="12">D155+D156</f>
        <v>0</v>
      </c>
      <c r="E154" s="1207">
        <f t="shared" si="12"/>
        <v>0</v>
      </c>
      <c r="F154" s="1208" t="e">
        <f t="shared" si="12"/>
        <v>#REF!</v>
      </c>
      <c r="G154" s="1207">
        <f t="shared" si="12"/>
        <v>0</v>
      </c>
      <c r="H154" s="1208" t="e">
        <f t="shared" si="12"/>
        <v>#REF!</v>
      </c>
      <c r="I154" s="1207">
        <f t="shared" si="12"/>
        <v>0</v>
      </c>
      <c r="J154" s="1209" t="e">
        <f t="shared" si="12"/>
        <v>#REF!</v>
      </c>
      <c r="K154" s="317" t="e">
        <f t="shared" si="11"/>
        <v>#DIV/0!</v>
      </c>
      <c r="L154" s="318"/>
      <c r="M154" s="319"/>
      <c r="N154" s="1224"/>
      <c r="O154" s="1225"/>
      <c r="P154" s="1225"/>
      <c r="Q154" s="1226"/>
      <c r="R154" s="6"/>
      <c r="S154" s="6"/>
      <c r="T154" s="6"/>
    </row>
    <row r="155" spans="1:20" x14ac:dyDescent="0.25">
      <c r="A155" s="320" t="s">
        <v>28</v>
      </c>
      <c r="B155" s="417">
        <f>H15/0.75</f>
        <v>0</v>
      </c>
      <c r="C155" s="400">
        <v>0</v>
      </c>
      <c r="D155" s="264">
        <f>$D$3*C155*45000+$D$3*C155*45000*20%</f>
        <v>0</v>
      </c>
      <c r="E155" s="1068">
        <v>0</v>
      </c>
      <c r="F155" s="1069" t="e">
        <f>SUM(#REF!)</f>
        <v>#REF!</v>
      </c>
      <c r="G155" s="1204">
        <v>0</v>
      </c>
      <c r="H155" s="1205" t="e">
        <f>SUM(#REF!)</f>
        <v>#REF!</v>
      </c>
      <c r="I155" s="1204">
        <v>0</v>
      </c>
      <c r="J155" s="1205" t="e">
        <f>SUM(#REF!)</f>
        <v>#REF!</v>
      </c>
      <c r="K155" s="90" t="e">
        <f t="shared" si="11"/>
        <v>#DIV/0!</v>
      </c>
      <c r="L155" s="92"/>
      <c r="M155" s="93"/>
      <c r="N155" s="1224"/>
      <c r="O155" s="1225"/>
      <c r="P155" s="1225"/>
      <c r="Q155" s="1226"/>
      <c r="R155" s="6"/>
      <c r="S155" s="6"/>
      <c r="T155" s="6"/>
    </row>
    <row r="156" spans="1:20" x14ac:dyDescent="0.25">
      <c r="A156" s="320" t="s">
        <v>96</v>
      </c>
      <c r="B156" s="417">
        <f>(H9-H15-H16)/1.5+(H16/0.75)</f>
        <v>0</v>
      </c>
      <c r="C156" s="400">
        <v>0</v>
      </c>
      <c r="D156" s="264">
        <f>$D$3*C156*45000</f>
        <v>0</v>
      </c>
      <c r="E156" s="1068">
        <v>0</v>
      </c>
      <c r="F156" s="1069" t="e">
        <f>SUM(#REF!)</f>
        <v>#REF!</v>
      </c>
      <c r="G156" s="1204">
        <v>0</v>
      </c>
      <c r="H156" s="1205" t="e">
        <f>SUM(#REF!)</f>
        <v>#REF!</v>
      </c>
      <c r="I156" s="1204">
        <v>0</v>
      </c>
      <c r="J156" s="1205" t="e">
        <f>SUM(#REF!)</f>
        <v>#REF!</v>
      </c>
      <c r="K156" s="90" t="e">
        <f t="shared" si="11"/>
        <v>#DIV/0!</v>
      </c>
      <c r="L156" s="92"/>
      <c r="M156" s="93"/>
      <c r="N156" s="1224"/>
      <c r="O156" s="1225"/>
      <c r="P156" s="1225"/>
      <c r="Q156" s="1226"/>
      <c r="R156" s="6"/>
      <c r="S156" s="6"/>
      <c r="T156" s="6"/>
    </row>
    <row r="157" spans="1:20" x14ac:dyDescent="0.25">
      <c r="A157" s="314" t="s">
        <v>97</v>
      </c>
      <c r="B157" s="315">
        <f t="shared" ref="B157:G157" si="13">B158+B159</f>
        <v>0</v>
      </c>
      <c r="C157" s="315">
        <f t="shared" si="13"/>
        <v>0</v>
      </c>
      <c r="D157" s="316">
        <f t="shared" si="13"/>
        <v>0</v>
      </c>
      <c r="E157" s="1207">
        <f t="shared" si="13"/>
        <v>0</v>
      </c>
      <c r="F157" s="1208" t="e">
        <f t="shared" si="13"/>
        <v>#REF!</v>
      </c>
      <c r="G157" s="1207">
        <f t="shared" si="13"/>
        <v>0</v>
      </c>
      <c r="H157" s="1208" t="e">
        <f>H158+H159</f>
        <v>#REF!</v>
      </c>
      <c r="I157" s="1207">
        <f>I158+I159</f>
        <v>0</v>
      </c>
      <c r="J157" s="1209" t="e">
        <f>J158+J159</f>
        <v>#REF!</v>
      </c>
      <c r="K157" s="317" t="e">
        <f t="shared" si="11"/>
        <v>#DIV/0!</v>
      </c>
      <c r="L157" s="318"/>
      <c r="M157" s="319"/>
      <c r="N157" s="1224"/>
      <c r="O157" s="1225"/>
      <c r="P157" s="1225"/>
      <c r="Q157" s="1226"/>
      <c r="R157" s="6"/>
      <c r="S157" s="6"/>
      <c r="T157" s="6"/>
    </row>
    <row r="158" spans="1:20" x14ac:dyDescent="0.25">
      <c r="A158" s="320" t="s">
        <v>28</v>
      </c>
      <c r="B158" s="417">
        <v>0</v>
      </c>
      <c r="C158" s="400">
        <v>0</v>
      </c>
      <c r="D158" s="264">
        <f>$D$3*C158*35000+$D$3*C158*35000*20%</f>
        <v>0</v>
      </c>
      <c r="E158" s="1068">
        <v>0</v>
      </c>
      <c r="F158" s="1069" t="e">
        <f>SUM(#REF!)</f>
        <v>#REF!</v>
      </c>
      <c r="G158" s="1204">
        <v>0</v>
      </c>
      <c r="H158" s="1205" t="e">
        <f>SUM(#REF!)</f>
        <v>#REF!</v>
      </c>
      <c r="I158" s="1204">
        <v>0</v>
      </c>
      <c r="J158" s="1205" t="e">
        <f>SUM(#REF!)</f>
        <v>#REF!</v>
      </c>
      <c r="K158" s="90" t="e">
        <f t="shared" si="11"/>
        <v>#DIV/0!</v>
      </c>
      <c r="L158" s="92"/>
      <c r="M158" s="93"/>
      <c r="N158" s="1224"/>
      <c r="O158" s="1225"/>
      <c r="P158" s="1225"/>
      <c r="Q158" s="1226"/>
      <c r="R158" s="6"/>
      <c r="S158" s="6"/>
      <c r="T158" s="6"/>
    </row>
    <row r="159" spans="1:20" ht="15.75" thickBot="1" x14ac:dyDescent="0.3">
      <c r="A159" s="320" t="s">
        <v>96</v>
      </c>
      <c r="B159" s="417">
        <v>0</v>
      </c>
      <c r="C159" s="400">
        <v>0</v>
      </c>
      <c r="D159" s="264">
        <f>$D$3*C159*35000</f>
        <v>0</v>
      </c>
      <c r="E159" s="1068">
        <v>0</v>
      </c>
      <c r="F159" s="1069" t="e">
        <f>SUM(#REF!)</f>
        <v>#REF!</v>
      </c>
      <c r="G159" s="1232">
        <v>0</v>
      </c>
      <c r="H159" s="1233" t="e">
        <f>SUM(#REF!)</f>
        <v>#REF!</v>
      </c>
      <c r="I159" s="1232">
        <v>0</v>
      </c>
      <c r="J159" s="1234" t="e">
        <f>SUM(#REF!)</f>
        <v>#REF!</v>
      </c>
      <c r="K159" s="90" t="e">
        <f t="shared" si="11"/>
        <v>#DIV/0!</v>
      </c>
      <c r="L159" s="92"/>
      <c r="M159" s="93"/>
      <c r="N159" s="1224"/>
      <c r="O159" s="1225"/>
      <c r="P159" s="1225"/>
      <c r="Q159" s="1226"/>
      <c r="R159" s="6"/>
      <c r="S159" s="6"/>
      <c r="T159" s="6"/>
    </row>
    <row r="160" spans="1:20" s="98" customFormat="1" ht="16.5" thickBot="1" x14ac:dyDescent="0.3">
      <c r="A160" s="1235" t="s">
        <v>2</v>
      </c>
      <c r="B160" s="1236"/>
      <c r="C160" s="1237"/>
      <c r="D160" s="95">
        <f>SUM(D150:D154,D157)</f>
        <v>0</v>
      </c>
      <c r="E160" s="1238">
        <f t="shared" ref="E160:J160" si="14">SUM(E150:E154,E157)</f>
        <v>0</v>
      </c>
      <c r="F160" s="1239" t="e">
        <f t="shared" si="14"/>
        <v>#REF!</v>
      </c>
      <c r="G160" s="1238">
        <f t="shared" si="14"/>
        <v>0</v>
      </c>
      <c r="H160" s="1239" t="e">
        <f t="shared" si="14"/>
        <v>#REF!</v>
      </c>
      <c r="I160" s="1238">
        <f t="shared" si="14"/>
        <v>0</v>
      </c>
      <c r="J160" s="1240" t="e">
        <f t="shared" si="14"/>
        <v>#REF!</v>
      </c>
      <c r="K160" s="96" t="e">
        <f>E160/G160</f>
        <v>#DIV/0!</v>
      </c>
      <c r="L160" s="97" t="e">
        <f>M160/I160</f>
        <v>#DIV/0!</v>
      </c>
      <c r="M160" s="77">
        <f>SUM(M150:M153,M155:M156,M158:M159)</f>
        <v>0</v>
      </c>
      <c r="N160" s="1227"/>
      <c r="O160" s="1228"/>
      <c r="P160" s="1228"/>
      <c r="Q160" s="1228"/>
    </row>
    <row r="161" spans="1:20" s="9" customFormat="1" ht="15.75" thickBot="1" x14ac:dyDescent="0.3">
      <c r="A161" s="99"/>
      <c r="B161" s="99"/>
      <c r="C161" s="99"/>
      <c r="D161" s="79"/>
      <c r="E161" s="81"/>
      <c r="F161" s="81"/>
      <c r="G161" s="81"/>
      <c r="H161" s="81"/>
      <c r="I161" s="81"/>
      <c r="J161" s="81"/>
      <c r="K161" s="82"/>
      <c r="L161" s="82"/>
      <c r="M161" s="82"/>
      <c r="N161" s="82"/>
      <c r="O161" s="84"/>
      <c r="P161" s="100"/>
      <c r="Q161" s="100"/>
    </row>
    <row r="162" spans="1:20" s="102" customFormat="1" ht="18.75" x14ac:dyDescent="0.3">
      <c r="A162" s="1201" t="s">
        <v>10</v>
      </c>
      <c r="B162" s="1202"/>
      <c r="C162" s="1202"/>
      <c r="D162" s="1202"/>
      <c r="E162" s="1202"/>
      <c r="F162" s="1202"/>
      <c r="G162" s="1202"/>
      <c r="H162" s="1202"/>
      <c r="I162" s="1202"/>
      <c r="J162" s="1245" t="s">
        <v>38</v>
      </c>
      <c r="K162" s="1246"/>
      <c r="L162" s="1246"/>
      <c r="M162" s="1246"/>
      <c r="N162" s="1261" t="s">
        <v>39</v>
      </c>
      <c r="O162" s="1262"/>
      <c r="P162" s="1262"/>
      <c r="Q162" s="1263"/>
    </row>
    <row r="163" spans="1:20" ht="12.75" customHeight="1" x14ac:dyDescent="0.25">
      <c r="A163" s="321"/>
      <c r="B163" s="48"/>
      <c r="C163" s="48"/>
      <c r="D163" s="48"/>
      <c r="E163" s="48"/>
      <c r="F163" s="48"/>
      <c r="G163" s="48"/>
      <c r="H163" s="48"/>
      <c r="I163" s="6"/>
      <c r="J163" s="1057" t="s">
        <v>68</v>
      </c>
      <c r="K163" s="1057"/>
      <c r="L163" s="1058" t="s">
        <v>41</v>
      </c>
      <c r="M163" s="1058"/>
      <c r="N163" s="1264"/>
      <c r="O163" s="1265"/>
      <c r="P163" s="1265"/>
      <c r="Q163" s="1266"/>
      <c r="R163" s="6"/>
      <c r="S163" s="6"/>
      <c r="T163" s="6"/>
    </row>
    <row r="164" spans="1:20" s="14" customFormat="1" ht="51" customHeight="1" x14ac:dyDescent="0.25">
      <c r="A164" s="186" t="s">
        <v>98</v>
      </c>
      <c r="B164" s="181" t="s">
        <v>501</v>
      </c>
      <c r="C164" s="181" t="s">
        <v>99</v>
      </c>
      <c r="D164" s="183" t="s">
        <v>69</v>
      </c>
      <c r="E164" s="181" t="s">
        <v>100</v>
      </c>
      <c r="F164" s="1041" t="s">
        <v>932</v>
      </c>
      <c r="G164" s="1041"/>
      <c r="H164" s="1041" t="s">
        <v>933</v>
      </c>
      <c r="I164" s="1042"/>
      <c r="J164" s="1057"/>
      <c r="K164" s="1057"/>
      <c r="L164" s="185" t="s">
        <v>47</v>
      </c>
      <c r="M164" s="185" t="s">
        <v>48</v>
      </c>
      <c r="N164" s="1265"/>
      <c r="O164" s="1265"/>
      <c r="P164" s="1265"/>
      <c r="Q164" s="1266"/>
    </row>
    <row r="165" spans="1:20" s="14" customFormat="1" ht="21.75" customHeight="1" x14ac:dyDescent="0.25">
      <c r="A165" s="250" t="s">
        <v>499</v>
      </c>
      <c r="B165" s="416"/>
      <c r="C165" s="416"/>
      <c r="D165" s="17">
        <f>($D$3*COUNTIF(B4,"Tribal")*(1*(1200*15*12)+(IF(H9&gt;300,"2",IF(H9&gt;100,"1","1")))*(1200*15*12)+(IF(H9&gt;300,"3",IF(H9&gt;100,"2","1")))*(1200*25*12))+$D$3*COUNTIF(B4,"Urban")*(1*(1100*15*12)+(IF(H9&gt;300,"2",IF(H9&gt;100,"1","1")))*(1100*15*12)+(IF(H9&gt;300,"3",IF(H9&gt;100,"2","1")))*(1100*25*12))+$D$3*COUNTIF(B4,"Rural")*(1*(1100*15*12)+(IF(H9&gt;300,"2",IF(H9&gt;100,"1","1")))*(1100*15*12)+(IF(H9&gt;300,"3",IF(H9&gt;100,"2","1")))*(1100*25*12)))-(COUNTIF(B4,"Tribal")*($D$3*C150*(1200*25*12)))-(COUNTIF(B4,"Urban")*($D$3*C150*(1100*25*12)))-(COUNTIF(B4,"Rurall")*($D$3*C150*(1200*25*12)))</f>
        <v>0</v>
      </c>
      <c r="E165" s="442"/>
      <c r="F165" s="1242"/>
      <c r="G165" s="1242"/>
      <c r="H165" s="1243"/>
      <c r="I165" s="1244"/>
      <c r="J165" s="1241" t="e">
        <f t="shared" ref="J165:J171" si="15">E165/F165</f>
        <v>#DIV/0!</v>
      </c>
      <c r="K165" s="1241"/>
      <c r="L165" s="311"/>
      <c r="M165" s="104"/>
      <c r="N165" s="1265"/>
      <c r="O165" s="1265"/>
      <c r="P165" s="1265"/>
      <c r="Q165" s="1266"/>
    </row>
    <row r="166" spans="1:20" s="14" customFormat="1" ht="21.75" customHeight="1" x14ac:dyDescent="0.25">
      <c r="A166" s="250" t="s">
        <v>500</v>
      </c>
      <c r="B166" s="416"/>
      <c r="C166" s="416"/>
      <c r="D166" s="17">
        <f>(COUNTIF(B4,"Tribal")*($D$3*C166*(1200*25*12)))+(COUNTIF(B4,"Urban")*($D$3*C166*(1100*25*12)))+(COUNTIF(B4,"Rural")*($D$3*C166*(1200*25*12)))</f>
        <v>0</v>
      </c>
      <c r="E166" s="442"/>
      <c r="F166" s="1242"/>
      <c r="G166" s="1242"/>
      <c r="H166" s="1243"/>
      <c r="I166" s="1244"/>
      <c r="J166" s="1241" t="e">
        <f t="shared" si="15"/>
        <v>#DIV/0!</v>
      </c>
      <c r="K166" s="1241"/>
      <c r="L166" s="311"/>
      <c r="M166" s="104"/>
      <c r="N166" s="1265"/>
      <c r="O166" s="1265"/>
      <c r="P166" s="1265"/>
      <c r="Q166" s="1266"/>
    </row>
    <row r="167" spans="1:20" x14ac:dyDescent="0.25">
      <c r="A167" s="250" t="s">
        <v>101</v>
      </c>
      <c r="B167" s="416"/>
      <c r="C167" s="416"/>
      <c r="D167" s="440">
        <v>0</v>
      </c>
      <c r="E167" s="442"/>
      <c r="F167" s="1242"/>
      <c r="G167" s="1242"/>
      <c r="H167" s="1243"/>
      <c r="I167" s="1244"/>
      <c r="J167" s="1241" t="e">
        <f t="shared" si="15"/>
        <v>#DIV/0!</v>
      </c>
      <c r="K167" s="1241"/>
      <c r="L167" s="312"/>
      <c r="M167" s="104"/>
      <c r="N167" s="1265"/>
      <c r="O167" s="1265"/>
      <c r="P167" s="1265"/>
      <c r="Q167" s="1266"/>
      <c r="R167" s="6"/>
      <c r="S167" s="6"/>
      <c r="T167" s="6"/>
    </row>
    <row r="168" spans="1:20" x14ac:dyDescent="0.25">
      <c r="A168" s="322" t="s">
        <v>102</v>
      </c>
      <c r="B168" s="323">
        <f>SUM(B169:B170)</f>
        <v>0</v>
      </c>
      <c r="C168" s="323">
        <f>SUM(C169:C170)</f>
        <v>0</v>
      </c>
      <c r="D168" s="324">
        <f>SUM(D169:D170)</f>
        <v>0</v>
      </c>
      <c r="E168" s="325">
        <f>SUM(E169:E170)</f>
        <v>0</v>
      </c>
      <c r="F168" s="1247">
        <f>SUM(F169:G170)</f>
        <v>0</v>
      </c>
      <c r="G168" s="1247"/>
      <c r="H168" s="1247">
        <f>SUM(H169:I170)</f>
        <v>0</v>
      </c>
      <c r="I168" s="1248"/>
      <c r="J168" s="1249" t="e">
        <f t="shared" si="15"/>
        <v>#DIV/0!</v>
      </c>
      <c r="K168" s="1249"/>
      <c r="L168" s="318"/>
      <c r="M168" s="315"/>
      <c r="N168" s="1265"/>
      <c r="O168" s="1265"/>
      <c r="P168" s="1265"/>
      <c r="Q168" s="1266"/>
      <c r="R168" s="6"/>
      <c r="S168" s="6"/>
      <c r="T168" s="6"/>
    </row>
    <row r="169" spans="1:20" x14ac:dyDescent="0.25">
      <c r="A169" s="326" t="s">
        <v>28</v>
      </c>
      <c r="B169" s="1250">
        <f>B153-C153</f>
        <v>0</v>
      </c>
      <c r="C169" s="218">
        <v>0</v>
      </c>
      <c r="D169" s="17">
        <f>$D$3*C169*(7*12)*1200</f>
        <v>0</v>
      </c>
      <c r="E169" s="165"/>
      <c r="F169" s="1252"/>
      <c r="G169" s="1252"/>
      <c r="H169" s="1252"/>
      <c r="I169" s="1253"/>
      <c r="J169" s="1254" t="e">
        <f t="shared" si="15"/>
        <v>#DIV/0!</v>
      </c>
      <c r="K169" s="1255"/>
      <c r="L169" s="92"/>
      <c r="M169" s="94"/>
      <c r="N169" s="1267"/>
      <c r="O169" s="1268"/>
      <c r="P169" s="1268"/>
      <c r="Q169" s="1269"/>
      <c r="R169" s="6"/>
      <c r="S169" s="6"/>
      <c r="T169" s="6"/>
    </row>
    <row r="170" spans="1:20" ht="15.75" thickBot="1" x14ac:dyDescent="0.3">
      <c r="A170" s="327" t="s">
        <v>96</v>
      </c>
      <c r="B170" s="1251"/>
      <c r="C170" s="164">
        <v>0</v>
      </c>
      <c r="D170" s="209">
        <f>$D$3*C170*(7*12)*1100</f>
        <v>0</v>
      </c>
      <c r="E170" s="167"/>
      <c r="F170" s="1252"/>
      <c r="G170" s="1252"/>
      <c r="H170" s="1252"/>
      <c r="I170" s="1253"/>
      <c r="J170" s="1256" t="e">
        <f t="shared" si="15"/>
        <v>#DIV/0!</v>
      </c>
      <c r="K170" s="1257"/>
      <c r="L170" s="92"/>
      <c r="M170" s="94"/>
      <c r="N170" s="1267"/>
      <c r="O170" s="1268"/>
      <c r="P170" s="1268"/>
      <c r="Q170" s="1269"/>
      <c r="R170" s="6"/>
      <c r="S170" s="6"/>
      <c r="T170" s="6"/>
    </row>
    <row r="171" spans="1:20" s="106" customFormat="1" ht="16.5" thickBot="1" x14ac:dyDescent="0.3">
      <c r="A171" s="1308" t="s">
        <v>2</v>
      </c>
      <c r="B171" s="1309"/>
      <c r="C171" s="1309"/>
      <c r="D171" s="200">
        <f t="shared" ref="D171:I171" si="16">SUM(D167:D168)</f>
        <v>0</v>
      </c>
      <c r="E171" s="105">
        <f t="shared" si="16"/>
        <v>0</v>
      </c>
      <c r="F171" s="1310">
        <f t="shared" si="16"/>
        <v>0</v>
      </c>
      <c r="G171" s="1310">
        <f t="shared" si="16"/>
        <v>0</v>
      </c>
      <c r="H171" s="1311">
        <f t="shared" si="16"/>
        <v>0</v>
      </c>
      <c r="I171" s="1311">
        <f t="shared" si="16"/>
        <v>0</v>
      </c>
      <c r="J171" s="1312" t="e">
        <f t="shared" si="15"/>
        <v>#DIV/0!</v>
      </c>
      <c r="K171" s="1312"/>
      <c r="L171" s="97" t="e">
        <f>M171/H171</f>
        <v>#DIV/0!</v>
      </c>
      <c r="M171" s="77">
        <f>SUM(M167:M168)</f>
        <v>0</v>
      </c>
      <c r="N171" s="1270"/>
      <c r="O171" s="1271"/>
      <c r="P171" s="1271"/>
      <c r="Q171" s="1272"/>
    </row>
    <row r="172" spans="1:20" s="85" customFormat="1" ht="15.75" thickBot="1" x14ac:dyDescent="0.25">
      <c r="A172" s="99"/>
      <c r="B172" s="99"/>
      <c r="C172" s="99"/>
      <c r="D172" s="107"/>
      <c r="E172" s="107"/>
      <c r="F172" s="81"/>
      <c r="G172" s="81"/>
      <c r="H172" s="100"/>
      <c r="I172" s="100"/>
      <c r="J172" s="100"/>
      <c r="K172" s="100"/>
      <c r="L172" s="108"/>
      <c r="M172" s="108"/>
      <c r="N172" s="82"/>
      <c r="O172" s="84"/>
      <c r="P172" s="100"/>
      <c r="Q172" s="100"/>
    </row>
    <row r="173" spans="1:20" ht="18" x14ac:dyDescent="0.25">
      <c r="A173" s="1201" t="s">
        <v>502</v>
      </c>
      <c r="B173" s="1202"/>
      <c r="C173" s="1202"/>
      <c r="D173" s="1202"/>
      <c r="E173" s="1202"/>
      <c r="F173" s="1202"/>
      <c r="G173" s="1202"/>
      <c r="H173" s="1202"/>
      <c r="I173" s="1203"/>
      <c r="J173" s="985" t="s">
        <v>38</v>
      </c>
      <c r="K173" s="985"/>
      <c r="L173" s="985"/>
      <c r="M173" s="985"/>
      <c r="N173" s="1140" t="s">
        <v>39</v>
      </c>
      <c r="O173" s="1140"/>
      <c r="P173" s="1140"/>
      <c r="Q173" s="1141"/>
      <c r="R173" s="6"/>
      <c r="S173" s="6"/>
      <c r="T173" s="6"/>
    </row>
    <row r="174" spans="1:20" ht="15" customHeight="1" x14ac:dyDescent="0.25">
      <c r="A174" s="328"/>
      <c r="B174" s="6"/>
      <c r="C174" s="6"/>
      <c r="D174" s="6"/>
      <c r="E174" s="6"/>
      <c r="F174" s="6"/>
      <c r="G174" s="6"/>
      <c r="H174" s="6"/>
      <c r="I174" s="109"/>
      <c r="J174" s="1273" t="s">
        <v>68</v>
      </c>
      <c r="K174" s="1273"/>
      <c r="L174" s="1058"/>
      <c r="M174" s="1058"/>
      <c r="N174" s="1274"/>
      <c r="O174" s="1275"/>
      <c r="P174" s="1275"/>
      <c r="Q174" s="1276"/>
      <c r="R174" s="6"/>
      <c r="S174" s="6"/>
      <c r="T174" s="6"/>
    </row>
    <row r="175" spans="1:20" ht="88.5" customHeight="1" x14ac:dyDescent="0.25">
      <c r="A175" s="110" t="s">
        <v>42</v>
      </c>
      <c r="B175" s="204" t="s">
        <v>530</v>
      </c>
      <c r="C175" s="204" t="s">
        <v>531</v>
      </c>
      <c r="D175" s="204" t="s">
        <v>103</v>
      </c>
      <c r="E175" s="111" t="s">
        <v>69</v>
      </c>
      <c r="F175" s="204" t="s">
        <v>104</v>
      </c>
      <c r="G175" s="204" t="s">
        <v>945</v>
      </c>
      <c r="H175" s="1281" t="s">
        <v>946</v>
      </c>
      <c r="I175" s="1282"/>
      <c r="J175" s="1273"/>
      <c r="K175" s="1273"/>
      <c r="L175" s="185"/>
      <c r="M175" s="185"/>
      <c r="N175" s="1277"/>
      <c r="O175" s="1278"/>
      <c r="P175" s="1278"/>
      <c r="Q175" s="1279"/>
      <c r="R175" s="6"/>
      <c r="S175" s="6"/>
      <c r="T175" s="6"/>
    </row>
    <row r="176" spans="1:20" ht="30" x14ac:dyDescent="0.25">
      <c r="A176" s="112" t="s">
        <v>908</v>
      </c>
      <c r="B176" s="113"/>
      <c r="C176" s="419"/>
      <c r="D176" s="419"/>
      <c r="E176" s="420"/>
      <c r="F176" s="421"/>
      <c r="G176" s="422"/>
      <c r="H176" s="1283"/>
      <c r="I176" s="1284"/>
      <c r="J176" s="1285" t="e">
        <f t="shared" ref="J176:J181" si="17">F176/G176</f>
        <v>#DIV/0!</v>
      </c>
      <c r="K176" s="1286"/>
      <c r="L176" s="329"/>
      <c r="M176" s="49"/>
      <c r="N176" s="1277"/>
      <c r="O176" s="1278"/>
      <c r="P176" s="1278"/>
      <c r="Q176" s="1279"/>
      <c r="R176" s="6"/>
      <c r="S176" s="6"/>
      <c r="T176" s="6"/>
    </row>
    <row r="177" spans="1:20" ht="30" x14ac:dyDescent="0.25">
      <c r="A177" s="112" t="s">
        <v>907</v>
      </c>
      <c r="B177" s="168"/>
      <c r="C177" s="419"/>
      <c r="D177" s="419"/>
      <c r="E177" s="420"/>
      <c r="F177" s="421"/>
      <c r="G177" s="804"/>
      <c r="H177" s="1283"/>
      <c r="I177" s="1284"/>
      <c r="J177" s="1285" t="e">
        <f t="shared" si="17"/>
        <v>#DIV/0!</v>
      </c>
      <c r="K177" s="1286"/>
      <c r="L177" s="330"/>
      <c r="M177" s="49"/>
      <c r="N177" s="1277"/>
      <c r="O177" s="1278"/>
      <c r="P177" s="1278"/>
      <c r="Q177" s="1279"/>
      <c r="R177" s="6"/>
      <c r="S177" s="6"/>
      <c r="T177" s="6"/>
    </row>
    <row r="178" spans="1:20" ht="30" x14ac:dyDescent="0.25">
      <c r="A178" s="112" t="s">
        <v>503</v>
      </c>
      <c r="B178" s="168"/>
      <c r="C178" s="419"/>
      <c r="D178" s="419"/>
      <c r="E178" s="420"/>
      <c r="F178" s="421"/>
      <c r="G178" s="422"/>
      <c r="H178" s="1283"/>
      <c r="I178" s="1284"/>
      <c r="J178" s="1285" t="e">
        <f t="shared" si="17"/>
        <v>#DIV/0!</v>
      </c>
      <c r="K178" s="1286"/>
      <c r="L178" s="330"/>
      <c r="M178" s="49"/>
      <c r="N178" s="1277"/>
      <c r="O178" s="1278"/>
      <c r="P178" s="1278"/>
      <c r="Q178" s="1279"/>
      <c r="R178" s="6"/>
      <c r="S178" s="6"/>
      <c r="T178" s="6"/>
    </row>
    <row r="179" spans="1:20" ht="30" customHeight="1" x14ac:dyDescent="0.25">
      <c r="A179" s="114" t="s">
        <v>106</v>
      </c>
      <c r="B179" s="168"/>
      <c r="C179" s="419"/>
      <c r="D179" s="419"/>
      <c r="E179" s="420"/>
      <c r="F179" s="422"/>
      <c r="G179" s="422"/>
      <c r="H179" s="1283"/>
      <c r="I179" s="1284"/>
      <c r="J179" s="1285" t="e">
        <f t="shared" si="17"/>
        <v>#DIV/0!</v>
      </c>
      <c r="K179" s="1286"/>
      <c r="L179" s="331"/>
      <c r="M179" s="49"/>
      <c r="N179" s="1277"/>
      <c r="O179" s="1278"/>
      <c r="P179" s="1278"/>
      <c r="Q179" s="1279"/>
      <c r="R179" s="6"/>
      <c r="S179" s="6"/>
      <c r="T179" s="6"/>
    </row>
    <row r="180" spans="1:20" ht="15.75" thickBot="1" x14ac:dyDescent="0.3">
      <c r="A180" s="115" t="s">
        <v>107</v>
      </c>
      <c r="B180" s="168"/>
      <c r="C180" s="423"/>
      <c r="D180" s="423"/>
      <c r="E180" s="420"/>
      <c r="F180" s="417"/>
      <c r="G180" s="417"/>
      <c r="H180" s="1297"/>
      <c r="I180" s="1298"/>
      <c r="J180" s="1299" t="e">
        <f t="shared" si="17"/>
        <v>#DIV/0!</v>
      </c>
      <c r="K180" s="1300"/>
      <c r="L180" s="332"/>
      <c r="M180" s="116"/>
      <c r="N180" s="1277"/>
      <c r="O180" s="1278"/>
      <c r="P180" s="1278"/>
      <c r="Q180" s="1279"/>
      <c r="R180" s="6"/>
      <c r="S180" s="6"/>
      <c r="T180" s="6"/>
    </row>
    <row r="181" spans="1:20" ht="16.5" thickBot="1" x14ac:dyDescent="0.3">
      <c r="A181" s="1301" t="s">
        <v>2</v>
      </c>
      <c r="B181" s="1302"/>
      <c r="C181" s="1302"/>
      <c r="D181" s="1303"/>
      <c r="E181" s="364">
        <f>SUM(E176:E180)</f>
        <v>0</v>
      </c>
      <c r="F181" s="118">
        <f>SUM(F176:F180)</f>
        <v>0</v>
      </c>
      <c r="G181" s="118">
        <f>SUM(G176:G180)</f>
        <v>0</v>
      </c>
      <c r="H181" s="1304">
        <f>SUM(H176:H180)</f>
        <v>0</v>
      </c>
      <c r="I181" s="1305">
        <f>SUM(I176:I180)</f>
        <v>0</v>
      </c>
      <c r="J181" s="1306" t="e">
        <f t="shared" si="17"/>
        <v>#DIV/0!</v>
      </c>
      <c r="K181" s="1307"/>
      <c r="L181" s="119" t="e">
        <f>M181/H181</f>
        <v>#DIV/0!</v>
      </c>
      <c r="M181" s="120">
        <f>SUM(M176:M180)</f>
        <v>0</v>
      </c>
      <c r="N181" s="1280"/>
      <c r="O181" s="1280"/>
      <c r="P181" s="1280"/>
      <c r="Q181" s="1280"/>
      <c r="R181" s="6"/>
      <c r="S181" s="6"/>
      <c r="T181" s="6"/>
    </row>
    <row r="182" spans="1:20" x14ac:dyDescent="0.25">
      <c r="A182" s="333"/>
      <c r="Q182" s="6"/>
      <c r="R182" s="6"/>
      <c r="S182" s="6"/>
      <c r="T182" s="6"/>
    </row>
    <row r="183" spans="1:20" s="102" customFormat="1" ht="18.75" x14ac:dyDescent="0.3">
      <c r="A183" s="1291" t="s">
        <v>12</v>
      </c>
      <c r="B183" s="1292"/>
      <c r="C183" s="1292"/>
      <c r="D183" s="1292"/>
      <c r="E183" s="1292"/>
      <c r="F183" s="1292"/>
      <c r="G183" s="1292"/>
      <c r="H183" s="1292"/>
      <c r="I183" s="1292"/>
      <c r="J183" s="1292"/>
      <c r="K183" s="1292"/>
      <c r="L183" s="1292"/>
      <c r="M183" s="1292"/>
      <c r="N183" s="1292"/>
      <c r="O183" s="1292"/>
      <c r="P183" s="1292"/>
      <c r="Q183" s="1292"/>
    </row>
    <row r="184" spans="1:20" ht="15.75" thickBot="1" x14ac:dyDescent="0.3">
      <c r="A184" s="334"/>
      <c r="Q184" s="6"/>
      <c r="R184" s="6"/>
      <c r="S184" s="6"/>
      <c r="T184" s="6"/>
    </row>
    <row r="185" spans="1:20" s="337" customFormat="1" ht="29.25" customHeight="1" x14ac:dyDescent="0.25">
      <c r="A185" s="1293" t="s">
        <v>108</v>
      </c>
      <c r="B185" s="1294"/>
      <c r="C185" s="1294"/>
      <c r="D185" s="1294"/>
      <c r="E185" s="1294"/>
      <c r="F185" s="1294"/>
      <c r="G185" s="1294"/>
      <c r="H185" s="1294"/>
      <c r="I185" s="335" t="s">
        <v>109</v>
      </c>
      <c r="J185" s="1295" t="s">
        <v>110</v>
      </c>
      <c r="K185" s="1296"/>
      <c r="L185" s="336"/>
      <c r="M185" s="336"/>
      <c r="N185" s="336"/>
    </row>
    <row r="186" spans="1:20" ht="15" customHeight="1" x14ac:dyDescent="0.25">
      <c r="A186" s="1258" t="s">
        <v>909</v>
      </c>
      <c r="B186" s="1259"/>
      <c r="C186" s="1259"/>
      <c r="D186" s="1259"/>
      <c r="E186" s="1259"/>
      <c r="F186" s="1259"/>
      <c r="G186" s="1259"/>
      <c r="H186" s="1259"/>
      <c r="I186" s="424"/>
      <c r="J186" s="928"/>
      <c r="K186" s="1260"/>
      <c r="O186" s="6"/>
      <c r="P186" s="6"/>
      <c r="Q186" s="6"/>
      <c r="R186" s="6"/>
      <c r="S186" s="6"/>
      <c r="T186" s="6"/>
    </row>
    <row r="187" spans="1:20" ht="15" customHeight="1" x14ac:dyDescent="0.25">
      <c r="A187" s="1258" t="s">
        <v>910</v>
      </c>
      <c r="B187" s="1259"/>
      <c r="C187" s="1259"/>
      <c r="D187" s="1259"/>
      <c r="E187" s="1259"/>
      <c r="F187" s="1259"/>
      <c r="G187" s="1259"/>
      <c r="H187" s="1259"/>
      <c r="I187" s="424"/>
      <c r="J187" s="928"/>
      <c r="K187" s="1260"/>
      <c r="O187" s="6"/>
      <c r="P187" s="6"/>
      <c r="Q187" s="6"/>
      <c r="R187" s="6"/>
      <c r="S187" s="6"/>
      <c r="T187" s="6"/>
    </row>
    <row r="188" spans="1:20" ht="15" customHeight="1" x14ac:dyDescent="0.25">
      <c r="A188" s="1258" t="s">
        <v>112</v>
      </c>
      <c r="B188" s="1259"/>
      <c r="C188" s="1259"/>
      <c r="D188" s="1259"/>
      <c r="E188" s="1259"/>
      <c r="F188" s="1259"/>
      <c r="G188" s="1259"/>
      <c r="H188" s="1259"/>
      <c r="I188" s="800"/>
      <c r="J188" s="928"/>
      <c r="K188" s="1260"/>
      <c r="O188" s="6"/>
      <c r="P188" s="6"/>
      <c r="Q188" s="6"/>
      <c r="R188" s="6"/>
      <c r="S188" s="6"/>
      <c r="T188" s="6"/>
    </row>
    <row r="189" spans="1:20" ht="15" customHeight="1" x14ac:dyDescent="0.25">
      <c r="A189" s="1258" t="s">
        <v>113</v>
      </c>
      <c r="B189" s="1259"/>
      <c r="C189" s="1259"/>
      <c r="D189" s="1259"/>
      <c r="E189" s="1259"/>
      <c r="F189" s="1259"/>
      <c r="G189" s="1259"/>
      <c r="H189" s="1259"/>
      <c r="I189" s="424"/>
      <c r="J189" s="928"/>
      <c r="K189" s="1260"/>
      <c r="O189" s="6"/>
      <c r="P189" s="6"/>
      <c r="Q189" s="6"/>
      <c r="R189" s="6"/>
      <c r="S189" s="6"/>
      <c r="T189" s="6"/>
    </row>
    <row r="190" spans="1:20" ht="15" customHeight="1" thickBot="1" x14ac:dyDescent="0.3">
      <c r="A190" s="1287" t="s">
        <v>114</v>
      </c>
      <c r="B190" s="1288"/>
      <c r="C190" s="1288"/>
      <c r="D190" s="1288"/>
      <c r="E190" s="1288"/>
      <c r="F190" s="1288"/>
      <c r="G190" s="1288"/>
      <c r="H190" s="1288"/>
      <c r="I190" s="425"/>
      <c r="J190" s="1289"/>
      <c r="K190" s="1290"/>
      <c r="O190" s="6"/>
      <c r="P190" s="6"/>
      <c r="Q190" s="6"/>
      <c r="R190" s="6"/>
      <c r="S190" s="6"/>
      <c r="T190" s="6"/>
    </row>
    <row r="191" spans="1:20" ht="15" customHeight="1" x14ac:dyDescent="0.25">
      <c r="A191" s="121"/>
      <c r="B191" s="121"/>
      <c r="C191" s="121"/>
      <c r="D191" s="121"/>
      <c r="E191" s="121"/>
      <c r="F191" s="121"/>
      <c r="G191" s="121"/>
      <c r="H191" s="121"/>
      <c r="I191" s="122"/>
      <c r="J191" s="122"/>
      <c r="K191" s="122"/>
      <c r="O191" s="6"/>
      <c r="P191" s="6"/>
      <c r="Q191" s="6"/>
      <c r="R191" s="6"/>
      <c r="S191" s="6"/>
      <c r="T191" s="6"/>
    </row>
    <row r="192" spans="1:20" ht="15" customHeight="1" thickBot="1" x14ac:dyDescent="0.3">
      <c r="A192" s="121"/>
      <c r="B192" s="121"/>
      <c r="C192" s="121"/>
      <c r="D192" s="121"/>
      <c r="E192" s="121"/>
      <c r="F192" s="121"/>
      <c r="G192" s="121"/>
      <c r="H192" s="121"/>
      <c r="I192" s="122"/>
      <c r="J192" s="122"/>
      <c r="K192" s="122"/>
      <c r="O192" s="6"/>
      <c r="P192" s="6"/>
      <c r="Q192" s="6"/>
      <c r="R192" s="6"/>
      <c r="S192" s="6"/>
      <c r="T192" s="6"/>
    </row>
    <row r="193" spans="1:20" ht="15" customHeight="1" x14ac:dyDescent="0.25">
      <c r="A193" s="1328" t="s">
        <v>42</v>
      </c>
      <c r="B193" s="1329"/>
      <c r="C193" s="1329" t="s">
        <v>115</v>
      </c>
      <c r="D193" s="1329" t="s">
        <v>116</v>
      </c>
      <c r="E193" s="1329"/>
      <c r="F193" s="1331" t="s">
        <v>117</v>
      </c>
      <c r="G193" s="1331" t="s">
        <v>932</v>
      </c>
      <c r="H193" s="1333" t="s">
        <v>947</v>
      </c>
      <c r="I193" s="1333"/>
      <c r="J193" s="1160" t="s">
        <v>38</v>
      </c>
      <c r="K193" s="1160"/>
      <c r="L193" s="1160"/>
      <c r="M193" s="1160"/>
      <c r="N193" s="1140" t="s">
        <v>39</v>
      </c>
      <c r="O193" s="1140"/>
      <c r="P193" s="1140"/>
      <c r="Q193" s="1141"/>
      <c r="R193" s="6"/>
      <c r="S193" s="6"/>
      <c r="T193" s="6"/>
    </row>
    <row r="194" spans="1:20" ht="15" customHeight="1" x14ac:dyDescent="0.25">
      <c r="A194" s="1330"/>
      <c r="B194" s="927"/>
      <c r="C194" s="927"/>
      <c r="D194" s="927"/>
      <c r="E194" s="927"/>
      <c r="F194" s="1332"/>
      <c r="G194" s="1332"/>
      <c r="H194" s="1334"/>
      <c r="I194" s="1334"/>
      <c r="J194" s="1057" t="s">
        <v>68</v>
      </c>
      <c r="K194" s="1057"/>
      <c r="L194" s="185"/>
      <c r="M194" s="185"/>
      <c r="N194" s="1320"/>
      <c r="O194" s="1321"/>
      <c r="P194" s="1321"/>
      <c r="Q194" s="1322"/>
      <c r="R194" s="6"/>
      <c r="S194" s="6"/>
      <c r="T194" s="6"/>
    </row>
    <row r="195" spans="1:20" ht="28.5" customHeight="1" x14ac:dyDescent="0.25">
      <c r="A195" s="1330"/>
      <c r="B195" s="927"/>
      <c r="C195" s="927"/>
      <c r="D195" s="927"/>
      <c r="E195" s="927"/>
      <c r="F195" s="1332"/>
      <c r="G195" s="1332"/>
      <c r="H195" s="1334"/>
      <c r="I195" s="1334"/>
      <c r="J195" s="1057"/>
      <c r="K195" s="1057"/>
      <c r="L195" s="185"/>
      <c r="M195" s="185"/>
      <c r="N195" s="1323"/>
      <c r="O195" s="1324"/>
      <c r="P195" s="1324"/>
      <c r="Q195" s="1325"/>
      <c r="R195" s="6"/>
      <c r="S195" s="6"/>
      <c r="T195" s="6"/>
    </row>
    <row r="196" spans="1:20" x14ac:dyDescent="0.25">
      <c r="A196" s="1316" t="s">
        <v>120</v>
      </c>
      <c r="B196" s="1317"/>
      <c r="C196" s="123"/>
      <c r="D196" s="1318"/>
      <c r="E196" s="1319"/>
      <c r="F196" s="1318"/>
      <c r="G196" s="1319"/>
      <c r="H196" s="925"/>
      <c r="I196" s="926"/>
      <c r="J196" s="925"/>
      <c r="K196" s="926"/>
      <c r="L196" s="124"/>
      <c r="M196" s="124"/>
      <c r="N196" s="1323"/>
      <c r="O196" s="1324"/>
      <c r="P196" s="1324"/>
      <c r="Q196" s="1325"/>
      <c r="R196" s="6"/>
      <c r="S196" s="6"/>
      <c r="T196" s="6"/>
    </row>
    <row r="197" spans="1:20" s="9" customFormat="1" x14ac:dyDescent="0.25">
      <c r="A197" s="1313" t="s">
        <v>504</v>
      </c>
      <c r="B197" s="1314"/>
      <c r="C197" s="424">
        <v>1</v>
      </c>
      <c r="D197" s="1315"/>
      <c r="E197" s="1315"/>
      <c r="F197" s="424"/>
      <c r="G197" s="424"/>
      <c r="H197" s="928"/>
      <c r="I197" s="928"/>
      <c r="J197" s="929" t="e">
        <f>F197/G197</f>
        <v>#DIV/0!</v>
      </c>
      <c r="K197" s="930"/>
      <c r="L197" s="312"/>
      <c r="M197" s="104"/>
      <c r="N197" s="1323"/>
      <c r="O197" s="1324"/>
      <c r="P197" s="1324"/>
      <c r="Q197" s="1325"/>
    </row>
    <row r="198" spans="1:20" s="9" customFormat="1" x14ac:dyDescent="0.25">
      <c r="A198" s="1313" t="s">
        <v>534</v>
      </c>
      <c r="B198" s="1314"/>
      <c r="C198" s="424"/>
      <c r="D198" s="1315"/>
      <c r="E198" s="1315"/>
      <c r="F198" s="424"/>
      <c r="G198" s="424"/>
      <c r="H198" s="928"/>
      <c r="I198" s="928"/>
      <c r="J198" s="929" t="e">
        <f>F198/G198</f>
        <v>#DIV/0!</v>
      </c>
      <c r="K198" s="930"/>
      <c r="L198" s="312"/>
      <c r="M198" s="104"/>
      <c r="N198" s="1323"/>
      <c r="O198" s="1324"/>
      <c r="P198" s="1324"/>
      <c r="Q198" s="1325"/>
    </row>
    <row r="199" spans="1:20" s="9" customFormat="1" x14ac:dyDescent="0.25">
      <c r="A199" s="1313" t="s">
        <v>535</v>
      </c>
      <c r="B199" s="1314"/>
      <c r="C199" s="424"/>
      <c r="D199" s="1315"/>
      <c r="E199" s="1315"/>
      <c r="F199" s="424"/>
      <c r="G199" s="424"/>
      <c r="H199" s="928"/>
      <c r="I199" s="928"/>
      <c r="J199" s="929" t="e">
        <f>F199/G199</f>
        <v>#DIV/0!</v>
      </c>
      <c r="K199" s="930"/>
      <c r="L199" s="312"/>
      <c r="M199" s="104"/>
      <c r="N199" s="1323"/>
      <c r="O199" s="1324"/>
      <c r="P199" s="1324"/>
      <c r="Q199" s="1325"/>
    </row>
    <row r="200" spans="1:20" s="9" customFormat="1" x14ac:dyDescent="0.25">
      <c r="A200" s="824" t="s">
        <v>12</v>
      </c>
      <c r="B200" s="825"/>
      <c r="C200" s="825"/>
      <c r="D200" s="825"/>
      <c r="E200" s="825"/>
      <c r="F200" s="825"/>
      <c r="G200" s="825"/>
      <c r="H200" s="923"/>
      <c r="I200" s="923"/>
      <c r="J200" s="825"/>
      <c r="K200" s="825"/>
      <c r="L200" s="825"/>
      <c r="M200" s="826"/>
      <c r="N200" s="1323"/>
      <c r="O200" s="1324"/>
      <c r="P200" s="1324"/>
      <c r="Q200" s="1325"/>
    </row>
    <row r="201" spans="1:20" ht="15.75" customHeight="1" x14ac:dyDescent="0.25">
      <c r="A201" s="1313" t="s">
        <v>121</v>
      </c>
      <c r="B201" s="1314"/>
      <c r="C201" s="424"/>
      <c r="D201" s="928"/>
      <c r="E201" s="928"/>
      <c r="F201" s="424"/>
      <c r="G201" s="424"/>
      <c r="H201" s="928"/>
      <c r="I201" s="928"/>
      <c r="J201" s="929" t="e">
        <f>F201/G201</f>
        <v>#DIV/0!</v>
      </c>
      <c r="K201" s="930"/>
      <c r="L201" s="312"/>
      <c r="M201" s="104"/>
      <c r="N201" s="1323"/>
      <c r="O201" s="1324"/>
      <c r="P201" s="1324"/>
      <c r="Q201" s="1325"/>
      <c r="R201" s="6"/>
      <c r="S201" s="6"/>
      <c r="T201" s="6"/>
    </row>
    <row r="202" spans="1:20" x14ac:dyDescent="0.25">
      <c r="A202" s="1313" t="s">
        <v>122</v>
      </c>
      <c r="B202" s="1314"/>
      <c r="C202" s="424"/>
      <c r="D202" s="928"/>
      <c r="E202" s="928"/>
      <c r="F202" s="424"/>
      <c r="G202" s="424"/>
      <c r="H202" s="928"/>
      <c r="I202" s="928"/>
      <c r="J202" s="929" t="e">
        <f>F202/G202</f>
        <v>#DIV/0!</v>
      </c>
      <c r="K202" s="930"/>
      <c r="L202" s="312"/>
      <c r="M202" s="104"/>
      <c r="N202" s="1323"/>
      <c r="O202" s="1324"/>
      <c r="P202" s="1324"/>
      <c r="Q202" s="1325"/>
      <c r="R202" s="6"/>
      <c r="S202" s="6"/>
      <c r="T202" s="6"/>
    </row>
    <row r="203" spans="1:20" x14ac:dyDescent="0.25">
      <c r="A203" s="1313" t="s">
        <v>107</v>
      </c>
      <c r="B203" s="1314"/>
      <c r="C203" s="424"/>
      <c r="D203" s="928"/>
      <c r="E203" s="928"/>
      <c r="F203" s="424"/>
      <c r="G203" s="424"/>
      <c r="H203" s="928"/>
      <c r="I203" s="928"/>
      <c r="J203" s="929" t="e">
        <f>F203/G203</f>
        <v>#DIV/0!</v>
      </c>
      <c r="K203" s="930"/>
      <c r="L203" s="312"/>
      <c r="M203" s="104"/>
      <c r="N203" s="1323"/>
      <c r="O203" s="1324"/>
      <c r="P203" s="1324"/>
      <c r="Q203" s="1325"/>
      <c r="R203" s="6"/>
      <c r="S203" s="6"/>
      <c r="T203" s="6"/>
    </row>
    <row r="204" spans="1:20" ht="15" customHeight="1" x14ac:dyDescent="0.25">
      <c r="A204" s="824" t="s">
        <v>505</v>
      </c>
      <c r="B204" s="825"/>
      <c r="C204" s="825"/>
      <c r="D204" s="825"/>
      <c r="E204" s="825"/>
      <c r="F204" s="825"/>
      <c r="G204" s="825"/>
      <c r="H204" s="923"/>
      <c r="I204" s="923"/>
      <c r="J204" s="825"/>
      <c r="K204" s="825"/>
      <c r="L204" s="825"/>
      <c r="M204" s="826"/>
      <c r="N204" s="1323"/>
      <c r="O204" s="1324"/>
      <c r="P204" s="1324"/>
      <c r="Q204" s="1325"/>
      <c r="R204" s="6"/>
      <c r="S204" s="6"/>
      <c r="T204" s="6"/>
    </row>
    <row r="205" spans="1:20" x14ac:dyDescent="0.25">
      <c r="A205" s="1313" t="s">
        <v>121</v>
      </c>
      <c r="B205" s="1314"/>
      <c r="C205" s="424"/>
      <c r="D205" s="928"/>
      <c r="E205" s="928"/>
      <c r="F205" s="424"/>
      <c r="G205" s="424"/>
      <c r="H205" s="928"/>
      <c r="I205" s="928"/>
      <c r="J205" s="929" t="e">
        <f>F205/G205</f>
        <v>#DIV/0!</v>
      </c>
      <c r="K205" s="930"/>
      <c r="L205" s="312"/>
      <c r="M205" s="104"/>
      <c r="N205" s="1323"/>
      <c r="O205" s="1324"/>
      <c r="P205" s="1324"/>
      <c r="Q205" s="1325"/>
      <c r="R205" s="6"/>
      <c r="S205" s="6"/>
      <c r="T205" s="6"/>
    </row>
    <row r="206" spans="1:20" x14ac:dyDescent="0.25">
      <c r="A206" s="1313" t="s">
        <v>122</v>
      </c>
      <c r="B206" s="1314"/>
      <c r="C206" s="424"/>
      <c r="D206" s="928"/>
      <c r="E206" s="928"/>
      <c r="F206" s="424"/>
      <c r="G206" s="424"/>
      <c r="H206" s="928"/>
      <c r="I206" s="928"/>
      <c r="J206" s="929" t="e">
        <f>F206/G206</f>
        <v>#DIV/0!</v>
      </c>
      <c r="K206" s="930"/>
      <c r="L206" s="312"/>
      <c r="M206" s="104"/>
      <c r="N206" s="1323"/>
      <c r="O206" s="1324"/>
      <c r="P206" s="1324"/>
      <c r="Q206" s="1325"/>
      <c r="R206" s="6"/>
      <c r="S206" s="6"/>
      <c r="T206" s="6"/>
    </row>
    <row r="207" spans="1:20" x14ac:dyDescent="0.25">
      <c r="A207" s="1313" t="s">
        <v>107</v>
      </c>
      <c r="B207" s="1314"/>
      <c r="C207" s="424"/>
      <c r="D207" s="928"/>
      <c r="E207" s="928"/>
      <c r="F207" s="424"/>
      <c r="G207" s="424"/>
      <c r="H207" s="928"/>
      <c r="I207" s="928"/>
      <c r="J207" s="929" t="e">
        <f>F207/G207</f>
        <v>#DIV/0!</v>
      </c>
      <c r="K207" s="930"/>
      <c r="L207" s="312"/>
      <c r="M207" s="104"/>
      <c r="N207" s="1323"/>
      <c r="O207" s="1324"/>
      <c r="P207" s="1324"/>
      <c r="Q207" s="1325"/>
      <c r="R207" s="6"/>
      <c r="S207" s="6"/>
      <c r="T207" s="6"/>
    </row>
    <row r="208" spans="1:20" x14ac:dyDescent="0.25">
      <c r="A208" s="1335" t="s">
        <v>123</v>
      </c>
      <c r="B208" s="1336"/>
      <c r="C208" s="123"/>
      <c r="D208" s="924"/>
      <c r="E208" s="924"/>
      <c r="F208" s="924"/>
      <c r="G208" s="924"/>
      <c r="H208" s="925"/>
      <c r="I208" s="926"/>
      <c r="J208" s="925"/>
      <c r="K208" s="926"/>
      <c r="L208" s="124"/>
      <c r="M208" s="124"/>
      <c r="N208" s="1323"/>
      <c r="O208" s="1324"/>
      <c r="P208" s="1324"/>
      <c r="Q208" s="1325"/>
      <c r="R208" s="6"/>
      <c r="S208" s="6"/>
      <c r="T208" s="6"/>
    </row>
    <row r="209" spans="1:20" x14ac:dyDescent="0.25">
      <c r="A209" s="1313" t="s">
        <v>124</v>
      </c>
      <c r="B209" s="1314"/>
      <c r="C209" s="424"/>
      <c r="D209" s="928"/>
      <c r="E209" s="928"/>
      <c r="F209" s="424"/>
      <c r="G209" s="424"/>
      <c r="H209" s="928"/>
      <c r="I209" s="928"/>
      <c r="J209" s="929" t="e">
        <f>F209/G209</f>
        <v>#DIV/0!</v>
      </c>
      <c r="K209" s="930"/>
      <c r="L209" s="312"/>
      <c r="M209" s="104"/>
      <c r="N209" s="1323"/>
      <c r="O209" s="1324"/>
      <c r="P209" s="1324"/>
      <c r="Q209" s="1325"/>
      <c r="R209" s="6"/>
      <c r="S209" s="6"/>
      <c r="T209" s="6"/>
    </row>
    <row r="210" spans="1:20" ht="29.25" customHeight="1" x14ac:dyDescent="0.25">
      <c r="A210" s="1313" t="s">
        <v>125</v>
      </c>
      <c r="B210" s="1314"/>
      <c r="C210" s="424"/>
      <c r="D210" s="928"/>
      <c r="E210" s="928"/>
      <c r="F210" s="424"/>
      <c r="G210" s="424"/>
      <c r="H210" s="928"/>
      <c r="I210" s="928"/>
      <c r="J210" s="929" t="e">
        <f>F210/G210</f>
        <v>#DIV/0!</v>
      </c>
      <c r="K210" s="930"/>
      <c r="L210" s="312"/>
      <c r="M210" s="104"/>
      <c r="N210" s="1323"/>
      <c r="O210" s="1324"/>
      <c r="P210" s="1324"/>
      <c r="Q210" s="1325"/>
      <c r="R210" s="6"/>
      <c r="S210" s="6"/>
      <c r="T210" s="6"/>
    </row>
    <row r="211" spans="1:20" ht="60.75" customHeight="1" x14ac:dyDescent="0.25">
      <c r="A211" s="1313" t="s">
        <v>506</v>
      </c>
      <c r="B211" s="1314"/>
      <c r="C211" s="424"/>
      <c r="D211" s="928"/>
      <c r="E211" s="928"/>
      <c r="F211" s="424"/>
      <c r="G211" s="424"/>
      <c r="H211" s="928"/>
      <c r="I211" s="928"/>
      <c r="J211" s="929" t="e">
        <f>F211/G211</f>
        <v>#DIV/0!</v>
      </c>
      <c r="K211" s="930"/>
      <c r="L211" s="311"/>
      <c r="M211" s="104"/>
      <c r="N211" s="1323"/>
      <c r="O211" s="1324"/>
      <c r="P211" s="1324"/>
      <c r="Q211" s="1325"/>
      <c r="R211" s="6"/>
      <c r="S211" s="6"/>
      <c r="T211" s="6"/>
    </row>
    <row r="212" spans="1:20" x14ac:dyDescent="0.25">
      <c r="A212" s="1313" t="s">
        <v>126</v>
      </c>
      <c r="B212" s="1314"/>
      <c r="C212" s="424"/>
      <c r="D212" s="928"/>
      <c r="E212" s="928"/>
      <c r="F212" s="424"/>
      <c r="G212" s="424"/>
      <c r="H212" s="928"/>
      <c r="I212" s="928"/>
      <c r="J212" s="929" t="e">
        <f>F212/G212</f>
        <v>#DIV/0!</v>
      </c>
      <c r="K212" s="930"/>
      <c r="L212" s="312"/>
      <c r="M212" s="104"/>
      <c r="N212" s="1323"/>
      <c r="O212" s="1324"/>
      <c r="P212" s="1324"/>
      <c r="Q212" s="1325"/>
      <c r="R212" s="6"/>
      <c r="S212" s="6"/>
      <c r="T212" s="6"/>
    </row>
    <row r="213" spans="1:20" ht="30" x14ac:dyDescent="0.25">
      <c r="A213" s="206" t="s">
        <v>127</v>
      </c>
      <c r="B213" s="125" t="s">
        <v>128</v>
      </c>
      <c r="C213" s="125" t="s">
        <v>263</v>
      </c>
      <c r="D213" s="924"/>
      <c r="E213" s="924"/>
      <c r="F213" s="924"/>
      <c r="G213" s="924"/>
      <c r="H213" s="925"/>
      <c r="I213" s="926"/>
      <c r="J213" s="925"/>
      <c r="K213" s="926"/>
      <c r="L213" s="124"/>
      <c r="M213" s="124"/>
      <c r="N213" s="1323"/>
      <c r="O213" s="1324"/>
      <c r="P213" s="1324"/>
      <c r="Q213" s="1325"/>
      <c r="R213" s="6"/>
      <c r="S213" s="6"/>
      <c r="T213" s="6"/>
    </row>
    <row r="214" spans="1:20" x14ac:dyDescent="0.25">
      <c r="A214" s="203" t="s">
        <v>129</v>
      </c>
      <c r="B214" s="424"/>
      <c r="C214" s="424"/>
      <c r="D214" s="927">
        <f>$D$3*60000*(I187+J187)</f>
        <v>0</v>
      </c>
      <c r="E214" s="927"/>
      <c r="F214" s="424"/>
      <c r="G214" s="424"/>
      <c r="H214" s="928"/>
      <c r="I214" s="928"/>
      <c r="J214" s="929" t="e">
        <f>F214/G214</f>
        <v>#DIV/0!</v>
      </c>
      <c r="K214" s="930"/>
      <c r="L214" s="312"/>
      <c r="M214" s="104"/>
      <c r="N214" s="1323"/>
      <c r="O214" s="1324"/>
      <c r="P214" s="1324"/>
      <c r="Q214" s="1325"/>
      <c r="R214" s="6"/>
      <c r="S214" s="6"/>
      <c r="T214" s="6"/>
    </row>
    <row r="215" spans="1:20" x14ac:dyDescent="0.25">
      <c r="A215" s="203" t="s">
        <v>130</v>
      </c>
      <c r="B215" s="424"/>
      <c r="C215" s="424"/>
      <c r="D215" s="927"/>
      <c r="E215" s="927"/>
      <c r="F215" s="424"/>
      <c r="G215" s="424"/>
      <c r="H215" s="928"/>
      <c r="I215" s="928"/>
      <c r="J215" s="929" t="e">
        <f>F215/G215</f>
        <v>#DIV/0!</v>
      </c>
      <c r="K215" s="930"/>
      <c r="L215" s="312"/>
      <c r="M215" s="104"/>
      <c r="N215" s="1323"/>
      <c r="O215" s="1324"/>
      <c r="P215" s="1324"/>
      <c r="Q215" s="1325"/>
      <c r="R215" s="6"/>
      <c r="S215" s="6"/>
      <c r="T215" s="6"/>
    </row>
    <row r="216" spans="1:20" x14ac:dyDescent="0.25">
      <c r="A216" s="203" t="s">
        <v>131</v>
      </c>
      <c r="B216" s="424"/>
      <c r="C216" s="424"/>
      <c r="D216" s="927"/>
      <c r="E216" s="927"/>
      <c r="F216" s="424"/>
      <c r="G216" s="424"/>
      <c r="H216" s="928"/>
      <c r="I216" s="928"/>
      <c r="J216" s="929" t="e">
        <f>F216/G216</f>
        <v>#DIV/0!</v>
      </c>
      <c r="K216" s="930"/>
      <c r="L216" s="312"/>
      <c r="M216" s="104"/>
      <c r="N216" s="1323"/>
      <c r="O216" s="1324"/>
      <c r="P216" s="1324"/>
      <c r="Q216" s="1325"/>
      <c r="R216" s="6"/>
      <c r="S216" s="6"/>
      <c r="T216" s="6"/>
    </row>
    <row r="217" spans="1:20" x14ac:dyDescent="0.25">
      <c r="A217" s="203" t="s">
        <v>132</v>
      </c>
      <c r="B217" s="424"/>
      <c r="C217" s="424"/>
      <c r="D217" s="927"/>
      <c r="E217" s="927"/>
      <c r="F217" s="424"/>
      <c r="G217" s="424"/>
      <c r="H217" s="928"/>
      <c r="I217" s="928"/>
      <c r="J217" s="929" t="e">
        <f>F217/G217</f>
        <v>#DIV/0!</v>
      </c>
      <c r="K217" s="930"/>
      <c r="L217" s="312"/>
      <c r="M217" s="104"/>
      <c r="N217" s="1323"/>
      <c r="O217" s="1324"/>
      <c r="P217" s="1324"/>
      <c r="Q217" s="1325"/>
      <c r="R217" s="6"/>
      <c r="S217" s="6"/>
      <c r="T217" s="6"/>
    </row>
    <row r="218" spans="1:20" ht="34.5" customHeight="1" x14ac:dyDescent="0.25">
      <c r="A218" s="224" t="s">
        <v>133</v>
      </c>
      <c r="B218" s="125" t="s">
        <v>264</v>
      </c>
      <c r="C218" s="125" t="s">
        <v>263</v>
      </c>
      <c r="D218" s="924"/>
      <c r="E218" s="924"/>
      <c r="F218" s="1337"/>
      <c r="G218" s="1337"/>
      <c r="H218" s="925"/>
      <c r="I218" s="926"/>
      <c r="J218" s="925"/>
      <c r="K218" s="926"/>
      <c r="L218" s="124"/>
      <c r="M218" s="124"/>
      <c r="N218" s="1323"/>
      <c r="O218" s="1324"/>
      <c r="P218" s="1324"/>
      <c r="Q218" s="1325"/>
      <c r="R218" s="6"/>
      <c r="S218" s="6"/>
      <c r="T218" s="6"/>
    </row>
    <row r="219" spans="1:20" ht="32.25" customHeight="1" x14ac:dyDescent="0.25">
      <c r="A219" s="205" t="s">
        <v>134</v>
      </c>
      <c r="B219" s="426"/>
      <c r="C219" s="424">
        <v>0</v>
      </c>
      <c r="D219" s="928">
        <f>$D$3*C219*30000</f>
        <v>0</v>
      </c>
      <c r="E219" s="928"/>
      <c r="F219" s="424">
        <v>0</v>
      </c>
      <c r="G219" s="424">
        <v>0</v>
      </c>
      <c r="H219" s="928">
        <v>0</v>
      </c>
      <c r="I219" s="928" t="e">
        <f>SUM(#REF!)</f>
        <v>#REF!</v>
      </c>
      <c r="J219" s="929" t="e">
        <f>F219/G219</f>
        <v>#DIV/0!</v>
      </c>
      <c r="K219" s="930"/>
      <c r="L219" s="338"/>
      <c r="M219" s="104"/>
      <c r="N219" s="1323"/>
      <c r="O219" s="1324"/>
      <c r="P219" s="1324"/>
      <c r="Q219" s="1325"/>
      <c r="R219" s="6"/>
      <c r="S219" s="6"/>
      <c r="T219" s="6"/>
    </row>
    <row r="220" spans="1:20" ht="35.25" customHeight="1" x14ac:dyDescent="0.25">
      <c r="A220" s="205" t="s">
        <v>135</v>
      </c>
      <c r="B220" s="426"/>
      <c r="C220" s="424">
        <v>0</v>
      </c>
      <c r="D220" s="928"/>
      <c r="E220" s="928"/>
      <c r="F220" s="424">
        <v>0</v>
      </c>
      <c r="G220" s="424">
        <v>0</v>
      </c>
      <c r="H220" s="928">
        <v>0</v>
      </c>
      <c r="I220" s="928" t="e">
        <f>SUM(#REF!)</f>
        <v>#REF!</v>
      </c>
      <c r="J220" s="929" t="e">
        <f>F220/G220</f>
        <v>#DIV/0!</v>
      </c>
      <c r="K220" s="930"/>
      <c r="L220" s="338"/>
      <c r="M220" s="104"/>
      <c r="N220" s="1323"/>
      <c r="O220" s="1324"/>
      <c r="P220" s="1324"/>
      <c r="Q220" s="1325"/>
      <c r="R220" s="6"/>
      <c r="S220" s="6"/>
      <c r="T220" s="6"/>
    </row>
    <row r="221" spans="1:20" x14ac:dyDescent="0.25">
      <c r="A221" s="1583" t="s">
        <v>136</v>
      </c>
      <c r="B221" s="1584"/>
      <c r="C221" s="207"/>
      <c r="D221" s="1337"/>
      <c r="E221" s="1337"/>
      <c r="F221" s="1337"/>
      <c r="G221" s="1337"/>
      <c r="H221" s="925"/>
      <c r="I221" s="926"/>
      <c r="J221" s="925"/>
      <c r="K221" s="926"/>
      <c r="L221" s="124"/>
      <c r="M221" s="124"/>
      <c r="N221" s="1323"/>
      <c r="O221" s="1324"/>
      <c r="P221" s="1324"/>
      <c r="Q221" s="1325"/>
      <c r="R221" s="6"/>
      <c r="S221" s="6"/>
      <c r="T221" s="6"/>
    </row>
    <row r="222" spans="1:20" ht="30" customHeight="1" x14ac:dyDescent="0.25">
      <c r="A222" s="1338" t="s">
        <v>137</v>
      </c>
      <c r="B222" s="1339"/>
      <c r="C222" s="208"/>
      <c r="D222" s="1340"/>
      <c r="E222" s="1340"/>
      <c r="F222" s="424"/>
      <c r="G222" s="424"/>
      <c r="H222" s="928"/>
      <c r="I222" s="928"/>
      <c r="J222" s="929" t="e">
        <f>F222/G222</f>
        <v>#DIV/0!</v>
      </c>
      <c r="K222" s="930"/>
      <c r="L222" s="338"/>
      <c r="M222" s="104"/>
      <c r="N222" s="1323"/>
      <c r="O222" s="1324"/>
      <c r="P222" s="1324"/>
      <c r="Q222" s="1325"/>
      <c r="R222" s="6"/>
      <c r="S222" s="6"/>
      <c r="T222" s="6"/>
    </row>
    <row r="223" spans="1:20" x14ac:dyDescent="0.25">
      <c r="A223" s="1583" t="s">
        <v>138</v>
      </c>
      <c r="B223" s="1584"/>
      <c r="C223" s="207"/>
      <c r="D223" s="1337"/>
      <c r="E223" s="1337"/>
      <c r="F223" s="1337"/>
      <c r="G223" s="1337"/>
      <c r="H223" s="925"/>
      <c r="I223" s="926"/>
      <c r="J223" s="925"/>
      <c r="K223" s="926"/>
      <c r="L223" s="124"/>
      <c r="M223" s="124"/>
      <c r="N223" s="1323"/>
      <c r="O223" s="1324"/>
      <c r="P223" s="1324"/>
      <c r="Q223" s="1325"/>
      <c r="R223" s="6"/>
      <c r="S223" s="6"/>
      <c r="T223" s="6"/>
    </row>
    <row r="224" spans="1:20" x14ac:dyDescent="0.25">
      <c r="A224" s="1338" t="s">
        <v>139</v>
      </c>
      <c r="B224" s="1339"/>
      <c r="C224" s="424"/>
      <c r="D224" s="1315"/>
      <c r="E224" s="1315"/>
      <c r="F224" s="424"/>
      <c r="G224" s="424"/>
      <c r="H224" s="928"/>
      <c r="I224" s="928"/>
      <c r="J224" s="929" t="e">
        <f>F224/G224</f>
        <v>#DIV/0!</v>
      </c>
      <c r="K224" s="930"/>
      <c r="L224" s="338"/>
      <c r="M224" s="104"/>
      <c r="N224" s="1323"/>
      <c r="O224" s="1324"/>
      <c r="P224" s="1324"/>
      <c r="Q224" s="1325"/>
      <c r="R224" s="6"/>
      <c r="S224" s="6"/>
      <c r="T224" s="6"/>
    </row>
    <row r="225" spans="1:20" x14ac:dyDescent="0.25">
      <c r="A225" s="1583" t="s">
        <v>140</v>
      </c>
      <c r="B225" s="1584"/>
      <c r="C225" s="207"/>
      <c r="D225" s="1337"/>
      <c r="E225" s="1337"/>
      <c r="F225" s="1337"/>
      <c r="G225" s="1337"/>
      <c r="H225" s="925"/>
      <c r="I225" s="926"/>
      <c r="J225" s="925"/>
      <c r="K225" s="926"/>
      <c r="L225" s="124"/>
      <c r="M225" s="124"/>
      <c r="N225" s="1323"/>
      <c r="O225" s="1324"/>
      <c r="P225" s="1324"/>
      <c r="Q225" s="1325"/>
      <c r="R225" s="6"/>
      <c r="S225" s="6"/>
      <c r="T225" s="6"/>
    </row>
    <row r="226" spans="1:20" s="9" customFormat="1" x14ac:dyDescent="0.25">
      <c r="A226" s="1338" t="s">
        <v>141</v>
      </c>
      <c r="B226" s="1339"/>
      <c r="C226" s="424"/>
      <c r="D226" s="928"/>
      <c r="E226" s="928"/>
      <c r="F226" s="424"/>
      <c r="G226" s="424"/>
      <c r="H226" s="928"/>
      <c r="I226" s="928"/>
      <c r="J226" s="929" t="e">
        <f t="shared" ref="J226:J237" si="18">F226/G226</f>
        <v>#DIV/0!</v>
      </c>
      <c r="K226" s="930"/>
      <c r="L226" s="338"/>
      <c r="M226" s="104"/>
      <c r="N226" s="1323"/>
      <c r="O226" s="1324"/>
      <c r="P226" s="1324"/>
      <c r="Q226" s="1325"/>
    </row>
    <row r="227" spans="1:20" s="9" customFormat="1" ht="30" customHeight="1" x14ac:dyDescent="0.25">
      <c r="A227" s="1348" t="s">
        <v>142</v>
      </c>
      <c r="B227" s="1349"/>
      <c r="C227" s="427"/>
      <c r="D227" s="1350"/>
      <c r="E227" s="1351"/>
      <c r="F227" s="428"/>
      <c r="G227" s="428"/>
      <c r="H227" s="1350"/>
      <c r="I227" s="1351"/>
      <c r="J227" s="1352" t="e">
        <f t="shared" si="18"/>
        <v>#DIV/0!</v>
      </c>
      <c r="K227" s="1353"/>
      <c r="L227" s="92"/>
      <c r="M227" s="104"/>
      <c r="N227" s="1323"/>
      <c r="O227" s="1324"/>
      <c r="P227" s="1324"/>
      <c r="Q227" s="1325"/>
    </row>
    <row r="228" spans="1:20" s="9" customFormat="1" x14ac:dyDescent="0.25">
      <c r="A228" s="1348" t="s">
        <v>507</v>
      </c>
      <c r="B228" s="1349"/>
      <c r="C228" s="427"/>
      <c r="D228" s="1350"/>
      <c r="E228" s="1351"/>
      <c r="F228" s="428"/>
      <c r="G228" s="428"/>
      <c r="H228" s="1350"/>
      <c r="I228" s="1351"/>
      <c r="J228" s="1352" t="e">
        <f>F228/G228</f>
        <v>#DIV/0!</v>
      </c>
      <c r="K228" s="1353"/>
      <c r="L228" s="92"/>
      <c r="M228" s="91"/>
      <c r="N228" s="1324"/>
      <c r="O228" s="1324"/>
      <c r="P228" s="1324"/>
      <c r="Q228" s="1325"/>
    </row>
    <row r="229" spans="1:20" s="9" customFormat="1" x14ac:dyDescent="0.25">
      <c r="A229" s="1348" t="s">
        <v>532</v>
      </c>
      <c r="B229" s="1349"/>
      <c r="C229" s="427"/>
      <c r="D229" s="1350"/>
      <c r="E229" s="1351"/>
      <c r="F229" s="428"/>
      <c r="G229" s="428"/>
      <c r="H229" s="1350"/>
      <c r="I229" s="1351"/>
      <c r="J229" s="1352"/>
      <c r="K229" s="1353"/>
      <c r="L229" s="92"/>
      <c r="M229" s="91"/>
      <c r="N229" s="1324"/>
      <c r="O229" s="1324"/>
      <c r="P229" s="1324"/>
      <c r="Q229" s="1325"/>
    </row>
    <row r="230" spans="1:20" s="9" customFormat="1" x14ac:dyDescent="0.25">
      <c r="A230" s="1348" t="s">
        <v>533</v>
      </c>
      <c r="B230" s="1349"/>
      <c r="C230" s="427"/>
      <c r="D230" s="1350"/>
      <c r="E230" s="1351"/>
      <c r="F230" s="428"/>
      <c r="G230" s="428"/>
      <c r="H230" s="1350"/>
      <c r="I230" s="1351"/>
      <c r="J230" s="1352" t="e">
        <f>F230/G230</f>
        <v>#DIV/0!</v>
      </c>
      <c r="K230" s="1353"/>
      <c r="L230" s="92"/>
      <c r="M230" s="91"/>
      <c r="N230" s="1324"/>
      <c r="O230" s="1324"/>
      <c r="P230" s="1324"/>
      <c r="Q230" s="1325"/>
    </row>
    <row r="231" spans="1:20" s="9" customFormat="1" ht="15" customHeight="1" x14ac:dyDescent="0.25">
      <c r="A231" s="1348" t="s">
        <v>508</v>
      </c>
      <c r="B231" s="1349"/>
      <c r="C231" s="427"/>
      <c r="D231" s="1350"/>
      <c r="E231" s="1351"/>
      <c r="F231" s="428"/>
      <c r="G231" s="428"/>
      <c r="H231" s="1350"/>
      <c r="I231" s="1351"/>
      <c r="J231" s="1352" t="e">
        <f t="shared" ref="J231:J235" si="19">F231/G231</f>
        <v>#DIV/0!</v>
      </c>
      <c r="K231" s="1353"/>
      <c r="L231" s="802"/>
      <c r="M231" s="91"/>
      <c r="N231" s="1324"/>
      <c r="O231" s="1324"/>
      <c r="P231" s="1324"/>
      <c r="Q231" s="1325"/>
    </row>
    <row r="232" spans="1:20" s="9" customFormat="1" x14ac:dyDescent="0.25">
      <c r="A232" s="1348" t="s">
        <v>150</v>
      </c>
      <c r="B232" s="1349"/>
      <c r="C232" s="427"/>
      <c r="D232" s="1350"/>
      <c r="E232" s="1351"/>
      <c r="F232" s="428"/>
      <c r="G232" s="428"/>
      <c r="H232" s="1350"/>
      <c r="I232" s="1351"/>
      <c r="J232" s="1352" t="e">
        <f t="shared" si="19"/>
        <v>#DIV/0!</v>
      </c>
      <c r="K232" s="1353"/>
      <c r="L232" s="802"/>
      <c r="M232" s="91"/>
      <c r="N232" s="1324"/>
      <c r="O232" s="1324"/>
      <c r="P232" s="1324"/>
      <c r="Q232" s="1325"/>
    </row>
    <row r="233" spans="1:20" s="9" customFormat="1" ht="15" customHeight="1" x14ac:dyDescent="0.25">
      <c r="A233" s="1348" t="s">
        <v>150</v>
      </c>
      <c r="B233" s="1349"/>
      <c r="C233" s="427"/>
      <c r="D233" s="1350"/>
      <c r="E233" s="1351"/>
      <c r="F233" s="428"/>
      <c r="G233" s="428"/>
      <c r="H233" s="1350"/>
      <c r="I233" s="1351"/>
      <c r="J233" s="1352" t="e">
        <f t="shared" si="19"/>
        <v>#DIV/0!</v>
      </c>
      <c r="K233" s="1353"/>
      <c r="L233" s="802"/>
      <c r="M233" s="91"/>
      <c r="N233" s="1324"/>
      <c r="O233" s="1324"/>
      <c r="P233" s="1324"/>
      <c r="Q233" s="1325"/>
    </row>
    <row r="234" spans="1:20" s="9" customFormat="1" ht="15" customHeight="1" x14ac:dyDescent="0.25">
      <c r="A234" s="1348" t="s">
        <v>150</v>
      </c>
      <c r="B234" s="1349"/>
      <c r="C234" s="427"/>
      <c r="D234" s="1350"/>
      <c r="E234" s="1351"/>
      <c r="F234" s="428"/>
      <c r="G234" s="428"/>
      <c r="H234" s="1350"/>
      <c r="I234" s="1351"/>
      <c r="J234" s="1352" t="e">
        <f t="shared" si="19"/>
        <v>#DIV/0!</v>
      </c>
      <c r="K234" s="1353"/>
      <c r="L234" s="802"/>
      <c r="M234" s="91"/>
      <c r="N234" s="1324"/>
      <c r="O234" s="1324"/>
      <c r="P234" s="1324"/>
      <c r="Q234" s="1325"/>
    </row>
    <row r="235" spans="1:20" s="9" customFormat="1" ht="15" customHeight="1" x14ac:dyDescent="0.25">
      <c r="A235" s="1348" t="s">
        <v>150</v>
      </c>
      <c r="B235" s="1349"/>
      <c r="C235" s="427"/>
      <c r="D235" s="1350"/>
      <c r="E235" s="1351"/>
      <c r="F235" s="428"/>
      <c r="G235" s="428"/>
      <c r="H235" s="1350"/>
      <c r="I235" s="1351"/>
      <c r="J235" s="1352" t="e">
        <f t="shared" si="19"/>
        <v>#DIV/0!</v>
      </c>
      <c r="K235" s="1353"/>
      <c r="L235" s="802"/>
      <c r="M235" s="91"/>
      <c r="N235" s="1324"/>
      <c r="O235" s="1324"/>
      <c r="P235" s="1324"/>
      <c r="Q235" s="1325"/>
    </row>
    <row r="236" spans="1:20" s="9" customFormat="1" ht="15.75" thickBot="1" x14ac:dyDescent="0.3">
      <c r="A236" s="1348" t="s">
        <v>150</v>
      </c>
      <c r="B236" s="1349"/>
      <c r="C236" s="427"/>
      <c r="D236" s="1350"/>
      <c r="E236" s="1351"/>
      <c r="F236" s="428"/>
      <c r="G236" s="428"/>
      <c r="H236" s="1350"/>
      <c r="I236" s="1351"/>
      <c r="J236" s="1352" t="e">
        <f>F236/G236</f>
        <v>#DIV/0!</v>
      </c>
      <c r="K236" s="1353"/>
      <c r="L236" s="92"/>
      <c r="M236" s="91"/>
      <c r="N236" s="1324"/>
      <c r="O236" s="1324"/>
      <c r="P236" s="1324"/>
      <c r="Q236" s="1325"/>
    </row>
    <row r="237" spans="1:20" ht="15.75" thickBot="1" x14ac:dyDescent="0.3">
      <c r="A237" s="1354" t="s">
        <v>143</v>
      </c>
      <c r="B237" s="1355"/>
      <c r="C237" s="1355"/>
      <c r="D237" s="1356">
        <f>SUM(D197:E236)</f>
        <v>0</v>
      </c>
      <c r="E237" s="1356"/>
      <c r="F237" s="827">
        <f>SUM(F197:F236)</f>
        <v>0</v>
      </c>
      <c r="G237" s="827">
        <f>SUM(G197:G236)</f>
        <v>0</v>
      </c>
      <c r="H237" s="1356">
        <v>0</v>
      </c>
      <c r="I237" s="1356"/>
      <c r="J237" s="1357" t="e">
        <f t="shared" si="18"/>
        <v>#DIV/0!</v>
      </c>
      <c r="K237" s="1358"/>
      <c r="L237" s="126"/>
      <c r="M237" s="117"/>
      <c r="N237" s="1326"/>
      <c r="O237" s="1326"/>
      <c r="P237" s="1326"/>
      <c r="Q237" s="1327"/>
      <c r="R237" s="6"/>
      <c r="S237" s="6"/>
      <c r="T237" s="6"/>
    </row>
    <row r="238" spans="1:20" ht="15.75" thickBot="1" x14ac:dyDescent="0.3">
      <c r="A238" s="252"/>
      <c r="B238" s="6"/>
      <c r="C238" s="6"/>
      <c r="D238" s="6"/>
      <c r="E238" s="6"/>
      <c r="F238" s="6"/>
      <c r="G238" s="6"/>
      <c r="H238" s="6"/>
      <c r="I238" s="6"/>
      <c r="J238" s="6"/>
      <c r="K238" s="6"/>
      <c r="L238" s="6"/>
      <c r="M238" s="6"/>
      <c r="N238" s="6"/>
      <c r="O238" s="6"/>
      <c r="P238" s="6"/>
      <c r="Q238" s="6"/>
      <c r="R238" s="6"/>
      <c r="S238" s="6"/>
      <c r="T238" s="6"/>
    </row>
    <row r="239" spans="1:20" s="129" customFormat="1" ht="20.25" customHeight="1" x14ac:dyDescent="0.3">
      <c r="A239" s="1341" t="s">
        <v>509</v>
      </c>
      <c r="B239" s="1342"/>
      <c r="C239" s="1342"/>
      <c r="D239" s="1342"/>
      <c r="E239" s="1342"/>
      <c r="F239" s="1342"/>
      <c r="G239" s="1342"/>
      <c r="H239" s="1342"/>
      <c r="I239" s="1343"/>
      <c r="J239" s="1160" t="s">
        <v>38</v>
      </c>
      <c r="K239" s="1160"/>
      <c r="L239" s="1160"/>
      <c r="M239" s="1160"/>
      <c r="N239" s="1140" t="s">
        <v>39</v>
      </c>
      <c r="O239" s="1140"/>
      <c r="P239" s="1140"/>
      <c r="Q239" s="1141"/>
    </row>
    <row r="240" spans="1:20" s="9" customFormat="1" ht="12.75" customHeight="1" x14ac:dyDescent="0.25">
      <c r="A240" s="339"/>
      <c r="B240" s="130"/>
      <c r="C240" s="130"/>
      <c r="D240" s="130"/>
      <c r="E240" s="130"/>
      <c r="F240" s="130"/>
      <c r="G240" s="130"/>
      <c r="H240" s="130"/>
      <c r="J240" s="1057" t="s">
        <v>68</v>
      </c>
      <c r="K240" s="1057"/>
      <c r="L240" s="1058" t="s">
        <v>41</v>
      </c>
      <c r="M240" s="1058"/>
      <c r="N240" s="1059"/>
      <c r="O240" s="1000"/>
      <c r="P240" s="1000"/>
      <c r="Q240" s="1001"/>
    </row>
    <row r="241" spans="1:20" s="9" customFormat="1" ht="38.25" customHeight="1" x14ac:dyDescent="0.25">
      <c r="A241" s="340" t="s">
        <v>42</v>
      </c>
      <c r="B241" s="131" t="s">
        <v>144</v>
      </c>
      <c r="C241" s="1344" t="s">
        <v>100</v>
      </c>
      <c r="D241" s="1344"/>
      <c r="E241" s="1344" t="s">
        <v>932</v>
      </c>
      <c r="F241" s="1344"/>
      <c r="G241" s="1344" t="s">
        <v>933</v>
      </c>
      <c r="H241" s="1344"/>
      <c r="I241" s="1344"/>
      <c r="J241" s="1057"/>
      <c r="K241" s="1057"/>
      <c r="L241" s="185" t="s">
        <v>47</v>
      </c>
      <c r="M241" s="185" t="s">
        <v>48</v>
      </c>
      <c r="N241" s="1060"/>
      <c r="O241" s="1002"/>
      <c r="P241" s="1002"/>
      <c r="Q241" s="1003"/>
    </row>
    <row r="242" spans="1:20" s="9" customFormat="1" ht="25.5" customHeight="1" x14ac:dyDescent="0.25">
      <c r="A242" s="1345" t="s">
        <v>351</v>
      </c>
      <c r="B242" s="1346"/>
      <c r="C242" s="1346"/>
      <c r="D242" s="1346"/>
      <c r="E242" s="1346"/>
      <c r="F242" s="1346"/>
      <c r="G242" s="1346"/>
      <c r="H242" s="1346"/>
      <c r="I242" s="1346"/>
      <c r="J242" s="1346"/>
      <c r="K242" s="1346"/>
      <c r="L242" s="1346"/>
      <c r="M242" s="1347"/>
      <c r="N242" s="1060"/>
      <c r="O242" s="1002"/>
      <c r="P242" s="1002"/>
      <c r="Q242" s="1003"/>
    </row>
    <row r="243" spans="1:20" s="9" customFormat="1" ht="15.75" x14ac:dyDescent="0.25">
      <c r="A243" s="341" t="s">
        <v>510</v>
      </c>
      <c r="B243" s="1360">
        <f>(1*$D$3*(IF(H9&gt;300,"700000",IF(H9&gt;200,"500000","300000"))))+($D$3*($H$9/10)*15000)</f>
        <v>300000</v>
      </c>
      <c r="C243" s="1359"/>
      <c r="D243" s="1359"/>
      <c r="E243" s="1359"/>
      <c r="F243" s="1359"/>
      <c r="G243" s="1359"/>
      <c r="H243" s="1359"/>
      <c r="I243" s="1359"/>
      <c r="J243" s="929" t="e">
        <f>C243/E243</f>
        <v>#DIV/0!</v>
      </c>
      <c r="K243" s="930"/>
      <c r="L243" s="311">
        <v>1</v>
      </c>
      <c r="M243" s="104">
        <f>L243*G243</f>
        <v>0</v>
      </c>
      <c r="N243" s="1060"/>
      <c r="O243" s="1002"/>
      <c r="P243" s="1002"/>
      <c r="Q243" s="1003"/>
    </row>
    <row r="244" spans="1:20" s="9" customFormat="1" ht="15.75" x14ac:dyDescent="0.25">
      <c r="A244" s="341" t="s">
        <v>511</v>
      </c>
      <c r="B244" s="1361"/>
      <c r="C244" s="1359"/>
      <c r="D244" s="1359"/>
      <c r="E244" s="1359"/>
      <c r="F244" s="1359"/>
      <c r="G244" s="1359"/>
      <c r="H244" s="1359"/>
      <c r="I244" s="1359"/>
      <c r="J244" s="929" t="e">
        <f>C244/E244</f>
        <v>#DIV/0!</v>
      </c>
      <c r="K244" s="930"/>
      <c r="L244" s="311"/>
      <c r="M244" s="104">
        <f>L244*G244</f>
        <v>0</v>
      </c>
      <c r="N244" s="1060"/>
      <c r="O244" s="1002"/>
      <c r="P244" s="1002"/>
      <c r="Q244" s="1003"/>
    </row>
    <row r="245" spans="1:20" s="9" customFormat="1" ht="15.75" x14ac:dyDescent="0.25">
      <c r="A245" s="341" t="s">
        <v>393</v>
      </c>
      <c r="B245" s="1361"/>
      <c r="C245" s="1359"/>
      <c r="D245" s="1359"/>
      <c r="E245" s="1359"/>
      <c r="F245" s="1359"/>
      <c r="G245" s="1359"/>
      <c r="H245" s="1359"/>
      <c r="I245" s="1359"/>
      <c r="J245" s="929" t="e">
        <f>C245/E245</f>
        <v>#DIV/0!</v>
      </c>
      <c r="K245" s="930"/>
      <c r="L245" s="311"/>
      <c r="M245" s="104">
        <f>L245*G245</f>
        <v>0</v>
      </c>
      <c r="N245" s="1060"/>
      <c r="O245" s="1002"/>
      <c r="P245" s="1002"/>
      <c r="Q245" s="1003"/>
    </row>
    <row r="246" spans="1:20" s="9" customFormat="1" ht="15.75" x14ac:dyDescent="0.25">
      <c r="A246" s="341" t="s">
        <v>394</v>
      </c>
      <c r="B246" s="1361"/>
      <c r="C246" s="1359"/>
      <c r="D246" s="1359"/>
      <c r="E246" s="1359"/>
      <c r="F246" s="1359"/>
      <c r="G246" s="1359"/>
      <c r="H246" s="1359"/>
      <c r="I246" s="1359"/>
      <c r="J246" s="929" t="e">
        <f>C246/E246</f>
        <v>#DIV/0!</v>
      </c>
      <c r="K246" s="930"/>
      <c r="L246" s="311"/>
      <c r="M246" s="104">
        <f>L246*G246</f>
        <v>0</v>
      </c>
      <c r="N246" s="1060"/>
      <c r="O246" s="1002"/>
      <c r="P246" s="1002"/>
      <c r="Q246" s="1003"/>
    </row>
    <row r="247" spans="1:20" s="9" customFormat="1" ht="15.75" x14ac:dyDescent="0.25">
      <c r="A247" s="341" t="s">
        <v>323</v>
      </c>
      <c r="B247" s="1362"/>
      <c r="C247" s="1359"/>
      <c r="D247" s="1359"/>
      <c r="E247" s="1359"/>
      <c r="F247" s="1359"/>
      <c r="G247" s="1359"/>
      <c r="H247" s="1359"/>
      <c r="I247" s="1359"/>
      <c r="J247" s="929" t="e">
        <f>C247/E247</f>
        <v>#DIV/0!</v>
      </c>
      <c r="K247" s="930"/>
      <c r="L247" s="311">
        <v>1</v>
      </c>
      <c r="M247" s="104">
        <f>L247*G247</f>
        <v>0</v>
      </c>
      <c r="N247" s="1060"/>
      <c r="O247" s="1002"/>
      <c r="P247" s="1002"/>
      <c r="Q247" s="1003"/>
    </row>
    <row r="248" spans="1:20" s="9" customFormat="1" ht="21" customHeight="1" x14ac:dyDescent="0.25">
      <c r="A248" s="1345" t="s">
        <v>495</v>
      </c>
      <c r="B248" s="1346"/>
      <c r="C248" s="1346"/>
      <c r="D248" s="1346"/>
      <c r="E248" s="1346"/>
      <c r="F248" s="1346"/>
      <c r="G248" s="1346"/>
      <c r="H248" s="1346"/>
      <c r="I248" s="1346"/>
      <c r="J248" s="1346"/>
      <c r="K248" s="1346"/>
      <c r="L248" s="1346"/>
      <c r="M248" s="1347"/>
      <c r="N248" s="1060"/>
      <c r="O248" s="1002"/>
      <c r="P248" s="1002"/>
      <c r="Q248" s="1003"/>
    </row>
    <row r="249" spans="1:20" x14ac:dyDescent="0.25">
      <c r="A249" s="132" t="s">
        <v>145</v>
      </c>
      <c r="B249" s="1364">
        <v>0</v>
      </c>
      <c r="C249" s="1363"/>
      <c r="D249" s="1363"/>
      <c r="E249" s="1363"/>
      <c r="F249" s="1363"/>
      <c r="G249" s="1363"/>
      <c r="H249" s="1363"/>
      <c r="I249" s="1363"/>
      <c r="J249" s="929" t="e">
        <f>C249/E249</f>
        <v>#DIV/0!</v>
      </c>
      <c r="K249" s="930"/>
      <c r="L249" s="312" t="e">
        <f>M249/G249</f>
        <v>#REF!</v>
      </c>
      <c r="M249" s="104" t="e">
        <f>SUM(#REF!)</f>
        <v>#REF!</v>
      </c>
      <c r="N249" s="1060"/>
      <c r="O249" s="1002"/>
      <c r="P249" s="1002"/>
      <c r="Q249" s="1003"/>
      <c r="R249" s="6"/>
      <c r="S249" s="6"/>
      <c r="T249" s="6"/>
    </row>
    <row r="250" spans="1:20" x14ac:dyDescent="0.25">
      <c r="A250" s="132" t="s">
        <v>146</v>
      </c>
      <c r="B250" s="1365"/>
      <c r="C250" s="1363"/>
      <c r="D250" s="1363"/>
      <c r="E250" s="1363"/>
      <c r="F250" s="1363"/>
      <c r="G250" s="1363"/>
      <c r="H250" s="1363"/>
      <c r="I250" s="1363"/>
      <c r="J250" s="929" t="e">
        <f t="shared" ref="J250:J257" si="20">C250/E250</f>
        <v>#DIV/0!</v>
      </c>
      <c r="K250" s="930"/>
      <c r="L250" s="312" t="e">
        <f t="shared" ref="L250:L256" si="21">M250/G250</f>
        <v>#REF!</v>
      </c>
      <c r="M250" s="104" t="e">
        <f>SUM(#REF!)</f>
        <v>#REF!</v>
      </c>
      <c r="N250" s="1060"/>
      <c r="O250" s="1002"/>
      <c r="P250" s="1002"/>
      <c r="Q250" s="1003"/>
      <c r="R250" s="6"/>
      <c r="S250" s="6"/>
      <c r="T250" s="6"/>
    </row>
    <row r="251" spans="1:20" x14ac:dyDescent="0.25">
      <c r="A251" s="132" t="s">
        <v>147</v>
      </c>
      <c r="B251" s="1365"/>
      <c r="C251" s="1363"/>
      <c r="D251" s="1363"/>
      <c r="E251" s="1363"/>
      <c r="F251" s="1363"/>
      <c r="G251" s="1363"/>
      <c r="H251" s="1363"/>
      <c r="I251" s="1363"/>
      <c r="J251" s="929" t="e">
        <f t="shared" si="20"/>
        <v>#DIV/0!</v>
      </c>
      <c r="K251" s="930"/>
      <c r="L251" s="312" t="e">
        <f t="shared" si="21"/>
        <v>#REF!</v>
      </c>
      <c r="M251" s="104" t="e">
        <f>SUM(#REF!)</f>
        <v>#REF!</v>
      </c>
      <c r="N251" s="1060"/>
      <c r="O251" s="1002"/>
      <c r="P251" s="1002"/>
      <c r="Q251" s="1003"/>
      <c r="R251" s="6"/>
      <c r="S251" s="6"/>
      <c r="T251" s="6"/>
    </row>
    <row r="252" spans="1:20" x14ac:dyDescent="0.25">
      <c r="A252" s="132" t="s">
        <v>148</v>
      </c>
      <c r="B252" s="1365"/>
      <c r="C252" s="1363"/>
      <c r="D252" s="1363"/>
      <c r="E252" s="1363"/>
      <c r="F252" s="1363"/>
      <c r="G252" s="1363"/>
      <c r="H252" s="1363"/>
      <c r="I252" s="1363"/>
      <c r="J252" s="929" t="e">
        <f t="shared" si="20"/>
        <v>#DIV/0!</v>
      </c>
      <c r="K252" s="930"/>
      <c r="L252" s="312" t="e">
        <f t="shared" si="21"/>
        <v>#REF!</v>
      </c>
      <c r="M252" s="104" t="e">
        <f>SUM(#REF!)</f>
        <v>#REF!</v>
      </c>
      <c r="N252" s="1060"/>
      <c r="O252" s="1002"/>
      <c r="P252" s="1002"/>
      <c r="Q252" s="1003"/>
      <c r="R252" s="6"/>
      <c r="S252" s="6"/>
      <c r="T252" s="6"/>
    </row>
    <row r="253" spans="1:20" ht="28.5" x14ac:dyDescent="0.25">
      <c r="A253" s="132" t="s">
        <v>149</v>
      </c>
      <c r="B253" s="1365"/>
      <c r="C253" s="1363"/>
      <c r="D253" s="1363"/>
      <c r="E253" s="1363"/>
      <c r="F253" s="1363"/>
      <c r="G253" s="1363"/>
      <c r="H253" s="1363"/>
      <c r="I253" s="1363"/>
      <c r="J253" s="929" t="e">
        <f t="shared" si="20"/>
        <v>#DIV/0!</v>
      </c>
      <c r="K253" s="930"/>
      <c r="L253" s="312" t="e">
        <f t="shared" si="21"/>
        <v>#REF!</v>
      </c>
      <c r="M253" s="104" t="e">
        <f>SUM(#REF!)</f>
        <v>#REF!</v>
      </c>
      <c r="N253" s="1060"/>
      <c r="O253" s="1002"/>
      <c r="P253" s="1002"/>
      <c r="Q253" s="1003"/>
      <c r="R253" s="6"/>
      <c r="S253" s="6"/>
      <c r="T253" s="6"/>
    </row>
    <row r="254" spans="1:20" x14ac:dyDescent="0.25">
      <c r="A254" s="342" t="s">
        <v>150</v>
      </c>
      <c r="B254" s="1366"/>
      <c r="C254" s="1363"/>
      <c r="D254" s="1363"/>
      <c r="E254" s="1363"/>
      <c r="F254" s="1363"/>
      <c r="G254" s="1363"/>
      <c r="H254" s="1363"/>
      <c r="I254" s="1363"/>
      <c r="J254" s="929" t="e">
        <f t="shared" si="20"/>
        <v>#DIV/0!</v>
      </c>
      <c r="K254" s="930"/>
      <c r="L254" s="312" t="e">
        <f t="shared" si="21"/>
        <v>#REF!</v>
      </c>
      <c r="M254" s="104" t="e">
        <f>SUM(#REF!)</f>
        <v>#REF!</v>
      </c>
      <c r="N254" s="1060"/>
      <c r="O254" s="1002"/>
      <c r="P254" s="1002"/>
      <c r="Q254" s="1003"/>
      <c r="R254" s="6"/>
      <c r="S254" s="6"/>
      <c r="T254" s="6"/>
    </row>
    <row r="255" spans="1:20" x14ac:dyDescent="0.25">
      <c r="A255" s="132" t="s">
        <v>151</v>
      </c>
      <c r="B255" s="23">
        <v>0</v>
      </c>
      <c r="C255" s="1363"/>
      <c r="D255" s="1363"/>
      <c r="E255" s="1363"/>
      <c r="F255" s="1363"/>
      <c r="G255" s="1363"/>
      <c r="H255" s="1363"/>
      <c r="I255" s="1363"/>
      <c r="J255" s="929" t="e">
        <f t="shared" si="20"/>
        <v>#DIV/0!</v>
      </c>
      <c r="K255" s="930"/>
      <c r="L255" s="312" t="e">
        <f t="shared" si="21"/>
        <v>#REF!</v>
      </c>
      <c r="M255" s="104" t="e">
        <f>SUM(#REF!)</f>
        <v>#REF!</v>
      </c>
      <c r="N255" s="1060"/>
      <c r="O255" s="1002"/>
      <c r="P255" s="1002"/>
      <c r="Q255" s="1003"/>
      <c r="R255" s="6"/>
      <c r="S255" s="6"/>
      <c r="T255" s="6"/>
    </row>
    <row r="256" spans="1:20" ht="15.75" thickBot="1" x14ac:dyDescent="0.3">
      <c r="A256" s="133" t="s">
        <v>119</v>
      </c>
      <c r="B256" s="264">
        <v>0</v>
      </c>
      <c r="C256" s="1368"/>
      <c r="D256" s="1368"/>
      <c r="E256" s="1368"/>
      <c r="F256" s="1368"/>
      <c r="G256" s="1368"/>
      <c r="H256" s="1368"/>
      <c r="I256" s="1368"/>
      <c r="J256" s="1369" t="e">
        <f t="shared" si="20"/>
        <v>#DIV/0!</v>
      </c>
      <c r="K256" s="1370"/>
      <c r="L256" s="92" t="e">
        <f t="shared" si="21"/>
        <v>#REF!</v>
      </c>
      <c r="M256" s="94" t="e">
        <f>SUM(#REF!)</f>
        <v>#REF!</v>
      </c>
      <c r="N256" s="1060"/>
      <c r="O256" s="1002"/>
      <c r="P256" s="1002"/>
      <c r="Q256" s="1003"/>
      <c r="R256" s="6"/>
      <c r="S256" s="6"/>
      <c r="T256" s="6"/>
    </row>
    <row r="257" spans="1:20" ht="15.75" thickBot="1" x14ac:dyDescent="0.3">
      <c r="A257" s="343" t="s">
        <v>2</v>
      </c>
      <c r="B257" s="210">
        <f>SUM(B243,B249:B256)</f>
        <v>300000</v>
      </c>
      <c r="C257" s="1371">
        <f>SUM(C243:D247,C249:D256)</f>
        <v>0</v>
      </c>
      <c r="D257" s="1372">
        <f t="shared" ref="D257:I257" si="22">SUM(D243,D249:D256)</f>
        <v>0</v>
      </c>
      <c r="E257" s="1371">
        <f>SUM(E243:F247,E249:F256)</f>
        <v>0</v>
      </c>
      <c r="F257" s="1372">
        <f>SUM(F243,F249:F256)</f>
        <v>0</v>
      </c>
      <c r="G257" s="1371">
        <f>SUM(G243:I247,G249:I256)</f>
        <v>0</v>
      </c>
      <c r="H257" s="1373">
        <f t="shared" si="22"/>
        <v>0</v>
      </c>
      <c r="I257" s="1372">
        <f t="shared" si="22"/>
        <v>0</v>
      </c>
      <c r="J257" s="1374" t="e">
        <f t="shared" si="20"/>
        <v>#DIV/0!</v>
      </c>
      <c r="K257" s="1375"/>
      <c r="L257" s="134" t="e">
        <f>M257/G257</f>
        <v>#REF!</v>
      </c>
      <c r="M257" s="127" t="e">
        <f>SUM(M243:M247,M249:M256)</f>
        <v>#REF!</v>
      </c>
      <c r="N257" s="1004"/>
      <c r="O257" s="1004"/>
      <c r="P257" s="1004"/>
      <c r="Q257" s="1004"/>
      <c r="R257" s="6"/>
      <c r="S257" s="6"/>
      <c r="T257" s="6"/>
    </row>
    <row r="258" spans="1:20" s="9" customFormat="1" ht="15.75" thickBot="1" x14ac:dyDescent="0.3">
      <c r="B258" s="79"/>
      <c r="C258" s="79"/>
      <c r="D258" s="135"/>
      <c r="E258" s="135"/>
      <c r="F258" s="135"/>
      <c r="G258" s="135"/>
      <c r="H258" s="135"/>
      <c r="I258" s="135"/>
      <c r="J258" s="136"/>
      <c r="K258" s="137"/>
      <c r="L258" s="136"/>
      <c r="M258" s="138"/>
      <c r="N258" s="34"/>
      <c r="O258" s="34"/>
      <c r="P258" s="34"/>
      <c r="Q258" s="34"/>
    </row>
    <row r="259" spans="1:20" s="139" customFormat="1" ht="15.75" customHeight="1" x14ac:dyDescent="0.25">
      <c r="A259" s="1100" t="s">
        <v>14</v>
      </c>
      <c r="B259" s="1101"/>
      <c r="C259" s="1101"/>
      <c r="D259" s="1101"/>
      <c r="E259" s="1101"/>
      <c r="F259" s="1101"/>
      <c r="G259" s="1101"/>
      <c r="H259" s="1101"/>
      <c r="I259" s="1101"/>
      <c r="J259" s="1160" t="s">
        <v>38</v>
      </c>
      <c r="K259" s="1160"/>
      <c r="L259" s="1160"/>
      <c r="M259" s="1160"/>
      <c r="N259" s="1262" t="s">
        <v>39</v>
      </c>
      <c r="O259" s="1262"/>
      <c r="P259" s="1262"/>
      <c r="Q259" s="1263"/>
    </row>
    <row r="260" spans="1:20" s="9" customFormat="1" ht="15.75" customHeight="1" x14ac:dyDescent="0.25">
      <c r="A260" s="339"/>
      <c r="B260" s="141"/>
      <c r="C260" s="141"/>
      <c r="D260" s="141"/>
      <c r="E260" s="141"/>
      <c r="F260" s="141"/>
      <c r="H260" s="141"/>
      <c r="I260" s="141"/>
      <c r="J260" s="1344" t="s">
        <v>68</v>
      </c>
      <c r="K260" s="1344"/>
      <c r="L260" s="1058" t="s">
        <v>41</v>
      </c>
      <c r="M260" s="1058"/>
      <c r="N260" s="1000"/>
      <c r="O260" s="1000"/>
      <c r="P260" s="1000"/>
      <c r="Q260" s="1001"/>
    </row>
    <row r="261" spans="1:20" s="9" customFormat="1" ht="57" customHeight="1" x14ac:dyDescent="0.25">
      <c r="A261" s="301" t="s">
        <v>497</v>
      </c>
      <c r="B261" s="1344" t="s">
        <v>100</v>
      </c>
      <c r="C261" s="1344"/>
      <c r="D261" s="1344" t="s">
        <v>152</v>
      </c>
      <c r="E261" s="1344"/>
      <c r="F261" s="1344"/>
      <c r="G261" s="370" t="s">
        <v>564</v>
      </c>
      <c r="H261" s="369" t="s">
        <v>563</v>
      </c>
      <c r="I261" s="368" t="s">
        <v>948</v>
      </c>
      <c r="J261" s="1344"/>
      <c r="K261" s="1344"/>
      <c r="L261" s="185" t="s">
        <v>47</v>
      </c>
      <c r="M261" s="185" t="s">
        <v>48</v>
      </c>
      <c r="N261" s="1002"/>
      <c r="O261" s="1002"/>
      <c r="P261" s="1002"/>
      <c r="Q261" s="1003"/>
    </row>
    <row r="262" spans="1:20" s="9" customFormat="1" ht="28.5" customHeight="1" x14ac:dyDescent="0.25">
      <c r="A262" s="344" t="s">
        <v>24</v>
      </c>
      <c r="B262" s="1367"/>
      <c r="C262" s="1367"/>
      <c r="D262" s="1367"/>
      <c r="E262" s="1367"/>
      <c r="F262" s="1367"/>
      <c r="G262" s="432"/>
      <c r="H262" s="432"/>
      <c r="I262" s="432"/>
      <c r="J262" s="1387" t="e">
        <f>B262/D262</f>
        <v>#DIV/0!</v>
      </c>
      <c r="K262" s="1387"/>
      <c r="L262" s="253"/>
      <c r="M262" s="50">
        <f>L262*I262</f>
        <v>0</v>
      </c>
      <c r="N262" s="1002"/>
      <c r="O262" s="1002"/>
      <c r="P262" s="1002"/>
      <c r="Q262" s="1003"/>
    </row>
    <row r="263" spans="1:20" s="9" customFormat="1" ht="28.5" customHeight="1" thickBot="1" x14ac:dyDescent="0.3">
      <c r="A263" s="345" t="s">
        <v>201</v>
      </c>
      <c r="B263" s="1367"/>
      <c r="C263" s="1367"/>
      <c r="D263" s="1367"/>
      <c r="E263" s="1367"/>
      <c r="F263" s="1367"/>
      <c r="G263" s="433"/>
      <c r="H263" s="432"/>
      <c r="I263" s="432"/>
      <c r="J263" s="1388" t="e">
        <f>B263/D263</f>
        <v>#DIV/0!</v>
      </c>
      <c r="K263" s="1388"/>
      <c r="L263" s="346" t="e">
        <f>M263/I263</f>
        <v>#REF!</v>
      </c>
      <c r="M263" s="51" t="e">
        <f>SUM(#REF!)</f>
        <v>#REF!</v>
      </c>
      <c r="N263" s="1002"/>
      <c r="O263" s="1002"/>
      <c r="P263" s="1002"/>
      <c r="Q263" s="1003"/>
    </row>
    <row r="264" spans="1:20" s="9" customFormat="1" ht="28.5" customHeight="1" thickBot="1" x14ac:dyDescent="0.3">
      <c r="A264" s="347" t="s">
        <v>2</v>
      </c>
      <c r="B264" s="1382">
        <f>SUM(B262:C263)</f>
        <v>0</v>
      </c>
      <c r="C264" s="1382"/>
      <c r="D264" s="1382">
        <f>SUM(D262:F263)</f>
        <v>0</v>
      </c>
      <c r="E264" s="1382"/>
      <c r="F264" s="1382"/>
      <c r="G264" s="429"/>
      <c r="H264" s="430"/>
      <c r="I264" s="431">
        <f>SUM(H262:I263)</f>
        <v>0</v>
      </c>
      <c r="J264" s="1383" t="e">
        <f>B264/D264</f>
        <v>#DIV/0!</v>
      </c>
      <c r="K264" s="1383"/>
      <c r="L264" s="348" t="e">
        <f>M264/I264</f>
        <v>#REF!</v>
      </c>
      <c r="M264" s="40" t="e">
        <f>SUM(M262:M263)</f>
        <v>#REF!</v>
      </c>
      <c r="N264" s="1004"/>
      <c r="O264" s="1004"/>
      <c r="P264" s="1004"/>
      <c r="Q264" s="1004"/>
    </row>
    <row r="265" spans="1:20" s="9" customFormat="1" ht="28.5" customHeight="1" thickBot="1" x14ac:dyDescent="0.3">
      <c r="A265" s="100"/>
      <c r="B265" s="100"/>
      <c r="C265" s="100"/>
      <c r="D265" s="100"/>
      <c r="E265" s="100"/>
      <c r="F265" s="100"/>
      <c r="G265" s="142"/>
      <c r="H265" s="142"/>
      <c r="I265" s="143"/>
      <c r="J265" s="144"/>
      <c r="K265" s="34"/>
      <c r="L265" s="34"/>
      <c r="M265" s="34"/>
      <c r="N265" s="34"/>
    </row>
    <row r="266" spans="1:20" s="129" customFormat="1" ht="17.25" customHeight="1" thickBot="1" x14ac:dyDescent="0.35">
      <c r="A266" s="1384" t="s">
        <v>259</v>
      </c>
      <c r="B266" s="1385"/>
      <c r="C266" s="1385"/>
      <c r="D266" s="1385"/>
      <c r="E266" s="1385"/>
      <c r="F266" s="1385"/>
      <c r="G266" s="1385"/>
      <c r="H266" s="1385"/>
      <c r="I266" s="1386"/>
      <c r="J266" s="1160" t="s">
        <v>38</v>
      </c>
      <c r="K266" s="1160"/>
      <c r="L266" s="1160"/>
      <c r="M266" s="1160"/>
      <c r="N266" s="1376" t="s">
        <v>39</v>
      </c>
      <c r="O266" s="1376"/>
      <c r="P266" s="1376"/>
      <c r="Q266" s="1377"/>
    </row>
    <row r="267" spans="1:20" ht="12.75" customHeight="1" x14ac:dyDescent="0.25">
      <c r="A267" s="321"/>
      <c r="B267" s="48"/>
      <c r="C267" s="48"/>
      <c r="D267" s="48"/>
      <c r="E267" s="48"/>
      <c r="F267" s="48"/>
      <c r="G267" s="48"/>
      <c r="H267" s="48"/>
      <c r="I267" s="6"/>
      <c r="J267" s="1057" t="s">
        <v>68</v>
      </c>
      <c r="K267" s="1057"/>
      <c r="L267" s="1058" t="s">
        <v>41</v>
      </c>
      <c r="M267" s="1058"/>
      <c r="N267" s="1378"/>
      <c r="O267" s="1378"/>
      <c r="P267" s="1378"/>
      <c r="Q267" s="1379"/>
      <c r="R267" s="6"/>
      <c r="S267" s="6"/>
      <c r="T267" s="6"/>
    </row>
    <row r="268" spans="1:20" ht="27.75" customHeight="1" x14ac:dyDescent="0.25">
      <c r="A268" s="250" t="s">
        <v>497</v>
      </c>
      <c r="B268" s="1007" t="s">
        <v>479</v>
      </c>
      <c r="C268" s="1007"/>
      <c r="D268" s="1332" t="s">
        <v>100</v>
      </c>
      <c r="E268" s="1332"/>
      <c r="F268" s="1332" t="s">
        <v>932</v>
      </c>
      <c r="G268" s="1332"/>
      <c r="H268" s="1332" t="s">
        <v>933</v>
      </c>
      <c r="I268" s="1332"/>
      <c r="J268" s="1057"/>
      <c r="K268" s="1057"/>
      <c r="L268" s="185" t="s">
        <v>47</v>
      </c>
      <c r="M268" s="185" t="s">
        <v>48</v>
      </c>
      <c r="N268" s="1002"/>
      <c r="O268" s="1002"/>
      <c r="P268" s="1002"/>
      <c r="Q268" s="1003"/>
      <c r="R268" s="6"/>
      <c r="S268" s="6"/>
      <c r="T268" s="6"/>
    </row>
    <row r="269" spans="1:20" ht="27.75" customHeight="1" x14ac:dyDescent="0.25">
      <c r="A269" s="250" t="s">
        <v>24</v>
      </c>
      <c r="B269" s="1380">
        <f>$D$3*($H$9/10)*225000*66%</f>
        <v>0</v>
      </c>
      <c r="C269" s="1380"/>
      <c r="D269" s="1381"/>
      <c r="E269" s="1381"/>
      <c r="F269" s="1381"/>
      <c r="G269" s="1381"/>
      <c r="H269" s="1381"/>
      <c r="I269" s="1381"/>
      <c r="J269" s="1577" t="e">
        <f>D269/F269</f>
        <v>#DIV/0!</v>
      </c>
      <c r="K269" s="1577"/>
      <c r="L269" s="253"/>
      <c r="M269" s="50">
        <f>L269*H269</f>
        <v>0</v>
      </c>
      <c r="N269" s="1002"/>
      <c r="O269" s="1002"/>
      <c r="P269" s="1002"/>
      <c r="Q269" s="1003"/>
      <c r="R269" s="6"/>
      <c r="S269" s="6"/>
      <c r="T269" s="6"/>
    </row>
    <row r="270" spans="1:20" ht="15.75" thickBot="1" x14ac:dyDescent="0.3">
      <c r="A270" s="313" t="s">
        <v>201</v>
      </c>
      <c r="B270" s="1380">
        <f>$D$3*($H$9/10)*225000*34%</f>
        <v>0</v>
      </c>
      <c r="C270" s="1380"/>
      <c r="D270" s="1581"/>
      <c r="E270" s="1581"/>
      <c r="F270" s="1581"/>
      <c r="G270" s="1581"/>
      <c r="H270" s="1581"/>
      <c r="I270" s="1581"/>
      <c r="J270" s="1582" t="e">
        <f>D270/F270</f>
        <v>#DIV/0!</v>
      </c>
      <c r="K270" s="1582"/>
      <c r="L270" s="346" t="e">
        <f>M270/H270</f>
        <v>#REF!</v>
      </c>
      <c r="M270" s="51" t="e">
        <f>SUM(#REF!)</f>
        <v>#REF!</v>
      </c>
      <c r="N270" s="1002"/>
      <c r="O270" s="1002"/>
      <c r="P270" s="1002"/>
      <c r="Q270" s="1003"/>
      <c r="R270" s="6"/>
      <c r="S270" s="6"/>
      <c r="T270" s="6"/>
    </row>
    <row r="271" spans="1:20" ht="15.75" thickBot="1" x14ac:dyDescent="0.3">
      <c r="A271" s="349" t="s">
        <v>2</v>
      </c>
      <c r="B271" s="1403">
        <f>SUM(B269:C270)</f>
        <v>0</v>
      </c>
      <c r="C271" s="1403"/>
      <c r="D271" s="1404">
        <f>SUM(D269:E270)</f>
        <v>0</v>
      </c>
      <c r="E271" s="1404"/>
      <c r="F271" s="1404">
        <f>SUM(F269:G270)</f>
        <v>0</v>
      </c>
      <c r="G271" s="1404"/>
      <c r="H271" s="1404">
        <f>SUM(H269:I270)</f>
        <v>0</v>
      </c>
      <c r="I271" s="1404"/>
      <c r="J271" s="1405" t="e">
        <f>D271/F271</f>
        <v>#DIV/0!</v>
      </c>
      <c r="K271" s="1405"/>
      <c r="L271" s="348" t="e">
        <f>M271/H271</f>
        <v>#REF!</v>
      </c>
      <c r="M271" s="40" t="e">
        <f>SUM(M269:M270)</f>
        <v>#REF!</v>
      </c>
      <c r="N271" s="1004"/>
      <c r="O271" s="1004"/>
      <c r="P271" s="1004"/>
      <c r="Q271" s="1004"/>
      <c r="R271" s="6"/>
      <c r="S271" s="6"/>
      <c r="T271" s="6"/>
    </row>
    <row r="272" spans="1:20" ht="15.75" thickBot="1" x14ac:dyDescent="0.3">
      <c r="R272" s="6"/>
      <c r="S272" s="6"/>
      <c r="T272" s="6"/>
    </row>
    <row r="273" spans="1:20" s="102" customFormat="1" ht="19.5" thickBot="1" x14ac:dyDescent="0.35">
      <c r="A273" s="1406" t="s">
        <v>260</v>
      </c>
      <c r="B273" s="1407"/>
      <c r="C273" s="1407"/>
      <c r="D273" s="1407"/>
      <c r="E273" s="1407"/>
      <c r="F273" s="1407"/>
      <c r="G273" s="1407"/>
      <c r="H273" s="1407"/>
      <c r="I273" s="1408"/>
      <c r="J273" s="1160"/>
      <c r="K273" s="1160"/>
      <c r="L273" s="1160"/>
      <c r="M273" s="1160"/>
      <c r="N273" s="1376" t="s">
        <v>39</v>
      </c>
      <c r="O273" s="1376"/>
      <c r="P273" s="1376"/>
      <c r="Q273" s="1377"/>
    </row>
    <row r="274" spans="1:20" ht="15.75" x14ac:dyDescent="0.25">
      <c r="A274" s="1394" t="s">
        <v>495</v>
      </c>
      <c r="B274" s="1395"/>
      <c r="C274" s="1395"/>
      <c r="D274" s="1395"/>
      <c r="E274" s="1395"/>
      <c r="F274" s="1395"/>
      <c r="G274" s="1395"/>
      <c r="H274" s="1395"/>
      <c r="I274" s="1396"/>
      <c r="J274" s="1058"/>
      <c r="K274" s="1058"/>
      <c r="L274" s="1058"/>
      <c r="M274" s="1058"/>
      <c r="N274" s="1397"/>
      <c r="O274" s="1397"/>
      <c r="P274" s="1397"/>
      <c r="Q274" s="1397"/>
      <c r="R274" s="6"/>
      <c r="S274" s="6"/>
      <c r="T274" s="6"/>
    </row>
    <row r="275" spans="1:20" x14ac:dyDescent="0.25">
      <c r="A275" s="1398" t="s">
        <v>512</v>
      </c>
      <c r="B275" s="957"/>
      <c r="C275" s="957"/>
      <c r="D275" s="957"/>
      <c r="E275" s="957"/>
      <c r="F275" s="957"/>
      <c r="G275" s="957"/>
      <c r="H275" s="1399">
        <v>0</v>
      </c>
      <c r="I275" s="1400"/>
      <c r="J275" s="1058"/>
      <c r="K275" s="1058"/>
      <c r="L275" s="1058"/>
      <c r="M275" s="1058"/>
      <c r="N275" s="1225"/>
      <c r="O275" s="1225"/>
      <c r="P275" s="1225"/>
      <c r="Q275" s="1225"/>
      <c r="R275" s="6"/>
      <c r="S275" s="6"/>
      <c r="T275" s="6"/>
    </row>
    <row r="276" spans="1:20" ht="15.75" thickBot="1" x14ac:dyDescent="0.3">
      <c r="A276" s="1391" t="s">
        <v>153</v>
      </c>
      <c r="B276" s="1392"/>
      <c r="C276" s="1392"/>
      <c r="D276" s="1392"/>
      <c r="E276" s="1392"/>
      <c r="F276" s="1392"/>
      <c r="G276" s="1393"/>
      <c r="H276" s="1401">
        <v>0</v>
      </c>
      <c r="I276" s="1402"/>
      <c r="J276" s="941"/>
      <c r="K276" s="941"/>
      <c r="L276" s="828"/>
      <c r="M276" s="829"/>
      <c r="N276" s="1225"/>
      <c r="O276" s="1225"/>
      <c r="P276" s="1225"/>
      <c r="Q276" s="1225"/>
      <c r="R276" s="6"/>
      <c r="S276" s="6"/>
      <c r="T276" s="6"/>
    </row>
    <row r="277" spans="1:20" ht="15.75" thickBot="1" x14ac:dyDescent="0.3">
      <c r="A277" s="1572" t="s">
        <v>513</v>
      </c>
      <c r="B277" s="1573"/>
      <c r="C277" s="1573"/>
      <c r="D277" s="1573"/>
      <c r="E277" s="1573"/>
      <c r="F277" s="1573"/>
      <c r="G277" s="1574"/>
      <c r="H277" s="1575">
        <v>0</v>
      </c>
      <c r="I277" s="1576"/>
      <c r="J277" s="941"/>
      <c r="K277" s="941"/>
      <c r="L277" s="830"/>
      <c r="M277" s="831"/>
      <c r="N277" s="1225"/>
      <c r="O277" s="1225"/>
      <c r="P277" s="1225"/>
      <c r="Q277" s="1225"/>
      <c r="R277" s="6"/>
      <c r="S277" s="6"/>
      <c r="T277" s="6"/>
    </row>
    <row r="278" spans="1:20" ht="15" customHeight="1" x14ac:dyDescent="0.25">
      <c r="A278" s="1394" t="s">
        <v>351</v>
      </c>
      <c r="B278" s="1395"/>
      <c r="C278" s="1395"/>
      <c r="D278" s="1395"/>
      <c r="E278" s="1395"/>
      <c r="F278" s="1395"/>
      <c r="G278" s="1395"/>
      <c r="H278" s="1395"/>
      <c r="I278" s="1396"/>
      <c r="J278" s="942"/>
      <c r="K278" s="943"/>
      <c r="N278" s="1225"/>
      <c r="O278" s="1225"/>
      <c r="P278" s="1225"/>
      <c r="Q278" s="1225"/>
      <c r="R278" s="6"/>
      <c r="S278" s="6"/>
      <c r="T278" s="6"/>
    </row>
    <row r="279" spans="1:20" ht="15" customHeight="1" x14ac:dyDescent="0.25">
      <c r="A279" s="1398" t="s">
        <v>651</v>
      </c>
      <c r="B279" s="957"/>
      <c r="C279" s="957"/>
      <c r="D279" s="957"/>
      <c r="E279" s="957"/>
      <c r="F279" s="957"/>
      <c r="G279" s="957"/>
      <c r="H279" s="1399"/>
      <c r="I279" s="1400"/>
      <c r="J279" s="941"/>
      <c r="K279" s="941"/>
      <c r="L279" s="1389"/>
      <c r="M279" s="1389"/>
      <c r="N279" s="1225"/>
      <c r="O279" s="1225"/>
      <c r="P279" s="1225"/>
      <c r="Q279" s="1225"/>
      <c r="R279" s="6"/>
      <c r="S279" s="6"/>
      <c r="T279" s="6"/>
    </row>
    <row r="280" spans="1:20" ht="15" customHeight="1" thickBot="1" x14ac:dyDescent="0.3">
      <c r="A280" s="1391" t="s">
        <v>652</v>
      </c>
      <c r="B280" s="1392"/>
      <c r="C280" s="1392"/>
      <c r="D280" s="1392"/>
      <c r="E280" s="1392"/>
      <c r="F280" s="1392"/>
      <c r="G280" s="1393"/>
      <c r="H280" s="1399"/>
      <c r="I280" s="1400"/>
      <c r="J280" s="941"/>
      <c r="K280" s="941"/>
      <c r="L280" s="1389"/>
      <c r="M280" s="1389"/>
      <c r="N280" s="1225"/>
      <c r="O280" s="1225"/>
      <c r="P280" s="1225"/>
      <c r="Q280" s="1225"/>
      <c r="R280" s="6"/>
      <c r="S280" s="6"/>
      <c r="T280" s="6"/>
    </row>
    <row r="281" spans="1:20" ht="15" customHeight="1" thickBot="1" x14ac:dyDescent="0.3">
      <c r="A281" s="1567" t="s">
        <v>514</v>
      </c>
      <c r="B281" s="1568"/>
      <c r="C281" s="1568"/>
      <c r="D281" s="1568"/>
      <c r="E281" s="1568"/>
      <c r="F281" s="1568"/>
      <c r="G281" s="1569"/>
      <c r="H281" s="1570"/>
      <c r="I281" s="1571"/>
      <c r="J281" s="941"/>
      <c r="K281" s="941"/>
      <c r="L281" s="1390"/>
      <c r="M281" s="1390"/>
      <c r="N281" s="1225"/>
      <c r="O281" s="1225"/>
      <c r="P281" s="1225"/>
      <c r="Q281" s="1225"/>
      <c r="R281" s="6"/>
      <c r="S281" s="6"/>
      <c r="T281" s="6"/>
    </row>
    <row r="282" spans="1:20" ht="15" customHeight="1" thickBot="1" x14ac:dyDescent="0.3">
      <c r="A282" s="1425" t="s">
        <v>154</v>
      </c>
      <c r="B282" s="1426"/>
      <c r="C282" s="1426"/>
      <c r="D282" s="1426"/>
      <c r="E282" s="1426"/>
      <c r="F282" s="1426"/>
      <c r="G282" s="1426"/>
      <c r="H282" s="1416">
        <f>SUM(H277+H281)</f>
        <v>0</v>
      </c>
      <c r="I282" s="1416"/>
      <c r="J282" s="1427"/>
      <c r="K282" s="1427"/>
      <c r="L282" s="1416"/>
      <c r="M282" s="1417"/>
      <c r="R282" s="6"/>
      <c r="S282" s="6"/>
      <c r="T282" s="6"/>
    </row>
    <row r="283" spans="1:20" ht="15.75" thickBot="1" x14ac:dyDescent="0.3">
      <c r="R283" s="6"/>
      <c r="S283" s="6"/>
      <c r="T283" s="6"/>
    </row>
    <row r="284" spans="1:20" s="139" customFormat="1" ht="15.75" customHeight="1" x14ac:dyDescent="0.25">
      <c r="A284" s="1406" t="s">
        <v>261</v>
      </c>
      <c r="B284" s="1407"/>
      <c r="C284" s="1407"/>
      <c r="D284" s="1407"/>
      <c r="E284" s="1407"/>
      <c r="F284" s="1407"/>
      <c r="G284" s="1407"/>
      <c r="H284" s="1407"/>
      <c r="I284" s="1408"/>
      <c r="J284" s="985" t="s">
        <v>38</v>
      </c>
      <c r="K284" s="985"/>
      <c r="L284" s="985"/>
      <c r="M284" s="985"/>
      <c r="N284" s="1105" t="s">
        <v>39</v>
      </c>
      <c r="O284" s="1106"/>
      <c r="P284" s="1106"/>
      <c r="Q284" s="1107"/>
    </row>
    <row r="285" spans="1:20" ht="27.75" customHeight="1" x14ac:dyDescent="0.25">
      <c r="A285" s="1554" t="s">
        <v>252</v>
      </c>
      <c r="B285" s="1555"/>
      <c r="C285" s="1555"/>
      <c r="D285" s="1556" t="s">
        <v>100</v>
      </c>
      <c r="E285" s="1556"/>
      <c r="F285" s="1556" t="s">
        <v>932</v>
      </c>
      <c r="G285" s="1556"/>
      <c r="H285" s="1556" t="s">
        <v>933</v>
      </c>
      <c r="I285" s="1557"/>
      <c r="J285" s="1558" t="s">
        <v>68</v>
      </c>
      <c r="K285" s="1559"/>
      <c r="L285" s="185"/>
      <c r="M285" s="185"/>
      <c r="N285" s="1560"/>
      <c r="O285" s="1560"/>
      <c r="P285" s="1560"/>
      <c r="Q285" s="1560"/>
      <c r="R285" s="6"/>
      <c r="S285" s="6"/>
      <c r="T285" s="6"/>
    </row>
    <row r="286" spans="1:20" ht="28.5" customHeight="1" x14ac:dyDescent="0.25">
      <c r="A286" s="166"/>
      <c r="B286" s="1042" t="s">
        <v>265</v>
      </c>
      <c r="C286" s="1561"/>
      <c r="D286" s="1556"/>
      <c r="E286" s="1556"/>
      <c r="F286" s="1556"/>
      <c r="G286" s="1556"/>
      <c r="H286" s="1556"/>
      <c r="I286" s="1557"/>
      <c r="J286" s="942"/>
      <c r="K286" s="1578"/>
      <c r="L286" s="166"/>
      <c r="M286" s="166"/>
      <c r="N286" s="1560"/>
      <c r="O286" s="1560"/>
      <c r="P286" s="1560"/>
      <c r="Q286" s="1560"/>
      <c r="R286" s="6"/>
      <c r="S286" s="6"/>
      <c r="T286" s="6"/>
    </row>
    <row r="287" spans="1:20" ht="15" customHeight="1" x14ac:dyDescent="0.25">
      <c r="A287" s="169" t="s">
        <v>253</v>
      </c>
      <c r="B287" s="1284"/>
      <c r="C287" s="1562"/>
      <c r="D287" s="1563"/>
      <c r="E287" s="1563"/>
      <c r="F287" s="1563"/>
      <c r="G287" s="1563"/>
      <c r="H287" s="1563"/>
      <c r="I287" s="1564"/>
      <c r="J287" s="1565"/>
      <c r="K287" s="1566"/>
      <c r="L287" s="166"/>
      <c r="M287" s="166"/>
      <c r="N287" s="1560"/>
      <c r="O287" s="1560"/>
      <c r="P287" s="1560"/>
      <c r="Q287" s="1560"/>
      <c r="R287" s="6"/>
      <c r="S287" s="6"/>
      <c r="T287" s="6"/>
    </row>
    <row r="288" spans="1:20" ht="15" customHeight="1" x14ac:dyDescent="0.25">
      <c r="A288" s="169" t="s">
        <v>254</v>
      </c>
      <c r="B288" s="1284"/>
      <c r="C288" s="1562"/>
      <c r="D288" s="1563"/>
      <c r="E288" s="1563"/>
      <c r="F288" s="1563"/>
      <c r="G288" s="1563"/>
      <c r="H288" s="1563"/>
      <c r="I288" s="1564"/>
      <c r="J288" s="1565"/>
      <c r="K288" s="1566"/>
      <c r="L288" s="166"/>
      <c r="M288" s="166"/>
      <c r="N288" s="1560"/>
      <c r="O288" s="1560"/>
      <c r="P288" s="1560"/>
      <c r="Q288" s="1560"/>
      <c r="R288" s="6"/>
      <c r="S288" s="6"/>
      <c r="T288" s="6"/>
    </row>
    <row r="289" spans="1:20" ht="15" customHeight="1" x14ac:dyDescent="0.25">
      <c r="A289" s="169" t="s">
        <v>255</v>
      </c>
      <c r="B289" s="1284"/>
      <c r="C289" s="1562"/>
      <c r="D289" s="1563"/>
      <c r="E289" s="1563"/>
      <c r="F289" s="1563"/>
      <c r="G289" s="1563"/>
      <c r="H289" s="1563"/>
      <c r="I289" s="1564"/>
      <c r="J289" s="1565"/>
      <c r="K289" s="1566"/>
      <c r="L289" s="166"/>
      <c r="M289" s="166"/>
      <c r="N289" s="1560"/>
      <c r="O289" s="1560"/>
      <c r="P289" s="1560"/>
      <c r="Q289" s="1560"/>
      <c r="R289" s="6"/>
      <c r="S289" s="6"/>
      <c r="T289" s="6"/>
    </row>
    <row r="290" spans="1:20" ht="15" customHeight="1" x14ac:dyDescent="0.25">
      <c r="A290" s="169" t="s">
        <v>256</v>
      </c>
      <c r="B290" s="1284"/>
      <c r="C290" s="1562"/>
      <c r="D290" s="1563"/>
      <c r="E290" s="1563"/>
      <c r="F290" s="1563"/>
      <c r="G290" s="1563"/>
      <c r="H290" s="1563"/>
      <c r="I290" s="1564"/>
      <c r="J290" s="1565"/>
      <c r="K290" s="1566"/>
      <c r="L290" s="166"/>
      <c r="M290" s="166"/>
      <c r="N290" s="1560"/>
      <c r="O290" s="1560"/>
      <c r="P290" s="1560"/>
      <c r="Q290" s="1560"/>
      <c r="R290" s="6"/>
      <c r="S290" s="6"/>
      <c r="T290" s="6"/>
    </row>
    <row r="291" spans="1:20" x14ac:dyDescent="0.25">
      <c r="A291" s="169" t="s">
        <v>143</v>
      </c>
      <c r="B291" s="1042"/>
      <c r="C291" s="1561"/>
      <c r="D291" s="1332">
        <f>SUM(D287:E290)</f>
        <v>0</v>
      </c>
      <c r="E291" s="1332"/>
      <c r="F291" s="1332">
        <f>SUM(F287:G290)</f>
        <v>0</v>
      </c>
      <c r="G291" s="1332"/>
      <c r="H291" s="1332">
        <f>SUM(H287:I290)</f>
        <v>0</v>
      </c>
      <c r="I291" s="1332"/>
      <c r="J291" s="942"/>
      <c r="K291" s="1578"/>
      <c r="L291" s="166"/>
      <c r="M291" s="166"/>
      <c r="N291" s="1560"/>
      <c r="O291" s="1560"/>
      <c r="P291" s="1560"/>
      <c r="Q291" s="1560"/>
      <c r="R291" s="6"/>
      <c r="S291" s="6"/>
      <c r="T291" s="6"/>
    </row>
    <row r="292" spans="1:20" x14ac:dyDescent="0.25">
      <c r="R292" s="6"/>
      <c r="S292" s="6"/>
      <c r="T292" s="6"/>
    </row>
    <row r="293" spans="1:20" ht="15.75" thickBot="1" x14ac:dyDescent="0.3">
      <c r="R293" s="6"/>
      <c r="S293" s="6"/>
      <c r="T293" s="6"/>
    </row>
    <row r="294" spans="1:20" s="139" customFormat="1" ht="15.75" customHeight="1" x14ac:dyDescent="0.25">
      <c r="A294" s="1418" t="s">
        <v>262</v>
      </c>
      <c r="B294" s="1419"/>
      <c r="C294" s="1419"/>
      <c r="D294" s="1419"/>
      <c r="E294" s="1419"/>
      <c r="F294" s="1419"/>
      <c r="G294" s="1419"/>
      <c r="H294" s="1419"/>
      <c r="I294" s="1420"/>
      <c r="J294" s="985" t="s">
        <v>38</v>
      </c>
      <c r="K294" s="985"/>
      <c r="L294" s="985"/>
      <c r="M294" s="985"/>
      <c r="N294" s="1105" t="s">
        <v>39</v>
      </c>
      <c r="O294" s="1106"/>
      <c r="P294" s="1106"/>
      <c r="Q294" s="1107"/>
    </row>
    <row r="295" spans="1:20" ht="15" customHeight="1" x14ac:dyDescent="0.25">
      <c r="A295" s="321"/>
      <c r="B295" s="48"/>
      <c r="C295" s="48"/>
      <c r="D295" s="48"/>
      <c r="E295" s="48"/>
      <c r="F295" s="48"/>
      <c r="G295" s="48"/>
      <c r="H295" s="6"/>
      <c r="I295" s="6"/>
      <c r="J295" s="1421" t="s">
        <v>41</v>
      </c>
      <c r="K295" s="1421"/>
      <c r="L295" s="1421"/>
      <c r="M295" s="1421"/>
      <c r="N295" s="1077"/>
      <c r="O295" s="1077"/>
      <c r="P295" s="1077"/>
      <c r="Q295" s="1078"/>
      <c r="R295" s="6"/>
      <c r="S295" s="6"/>
      <c r="T295" s="6"/>
    </row>
    <row r="296" spans="1:20" ht="34.5" customHeight="1" x14ac:dyDescent="0.25">
      <c r="A296" s="145" t="s">
        <v>155</v>
      </c>
      <c r="B296" s="213" t="s">
        <v>486</v>
      </c>
      <c r="C296" s="1422" t="s">
        <v>156</v>
      </c>
      <c r="D296" s="1422"/>
      <c r="E296" s="1423" t="s">
        <v>157</v>
      </c>
      <c r="F296" s="1423"/>
      <c r="G296" s="1423"/>
      <c r="H296" s="1422" t="s">
        <v>933</v>
      </c>
      <c r="I296" s="1424"/>
      <c r="J296" s="1058" t="s">
        <v>158</v>
      </c>
      <c r="K296" s="1058"/>
      <c r="L296" s="1058" t="s">
        <v>48</v>
      </c>
      <c r="M296" s="1058"/>
      <c r="N296" s="1080"/>
      <c r="O296" s="1080"/>
      <c r="P296" s="1080"/>
      <c r="Q296" s="1081"/>
      <c r="R296" s="6"/>
      <c r="S296" s="6"/>
      <c r="T296" s="6"/>
    </row>
    <row r="297" spans="1:20" ht="23.25" customHeight="1" x14ac:dyDescent="0.25">
      <c r="A297" s="1413" t="s">
        <v>351</v>
      </c>
      <c r="B297" s="1414"/>
      <c r="C297" s="1414"/>
      <c r="D297" s="1414"/>
      <c r="E297" s="1414"/>
      <c r="F297" s="1414"/>
      <c r="G297" s="1414"/>
      <c r="H297" s="1414"/>
      <c r="I297" s="1414"/>
      <c r="J297" s="1414"/>
      <c r="K297" s="1414"/>
      <c r="L297" s="1414"/>
      <c r="M297" s="1415"/>
      <c r="N297" s="1080"/>
      <c r="O297" s="1080"/>
      <c r="P297" s="1080"/>
      <c r="Q297" s="1081"/>
      <c r="R297" s="6"/>
      <c r="S297" s="6"/>
      <c r="T297" s="6"/>
    </row>
    <row r="298" spans="1:20" ht="34.5" customHeight="1" x14ac:dyDescent="0.25">
      <c r="A298" s="145" t="s">
        <v>515</v>
      </c>
      <c r="B298" s="418"/>
      <c r="C298" s="1409"/>
      <c r="D298" s="1409"/>
      <c r="E298" s="1410">
        <f>$D$3*C298*650000</f>
        <v>0</v>
      </c>
      <c r="F298" s="1410"/>
      <c r="G298" s="1410"/>
      <c r="H298" s="1411"/>
      <c r="I298" s="1411"/>
      <c r="J298" s="1412"/>
      <c r="K298" s="1412"/>
      <c r="L298" s="944">
        <f>J298*$D$3*650000</f>
        <v>0</v>
      </c>
      <c r="M298" s="944"/>
      <c r="N298" s="1080"/>
      <c r="O298" s="1080"/>
      <c r="P298" s="1080"/>
      <c r="Q298" s="1081"/>
      <c r="R298" s="6"/>
      <c r="S298" s="6"/>
      <c r="T298" s="6"/>
    </row>
    <row r="299" spans="1:20" ht="34.5" customHeight="1" x14ac:dyDescent="0.25">
      <c r="A299" s="145" t="s">
        <v>516</v>
      </c>
      <c r="B299" s="418"/>
      <c r="C299" s="1409"/>
      <c r="D299" s="1409"/>
      <c r="E299" s="1410">
        <f>$D$3*C299*650000</f>
        <v>0</v>
      </c>
      <c r="F299" s="1410"/>
      <c r="G299" s="1410"/>
      <c r="H299" s="1411"/>
      <c r="I299" s="1411"/>
      <c r="J299" s="1412"/>
      <c r="K299" s="1412"/>
      <c r="L299" s="944">
        <f>J299*$D$3*650000</f>
        <v>0</v>
      </c>
      <c r="M299" s="944"/>
      <c r="N299" s="1080"/>
      <c r="O299" s="1080"/>
      <c r="P299" s="1080"/>
      <c r="Q299" s="1081"/>
      <c r="R299" s="6"/>
      <c r="S299" s="6"/>
      <c r="T299" s="6"/>
    </row>
    <row r="300" spans="1:20" ht="22.5" customHeight="1" x14ac:dyDescent="0.25">
      <c r="A300" s="1413" t="s">
        <v>495</v>
      </c>
      <c r="B300" s="1414"/>
      <c r="C300" s="1414"/>
      <c r="D300" s="1414"/>
      <c r="E300" s="1414"/>
      <c r="F300" s="1414"/>
      <c r="G300" s="1414"/>
      <c r="H300" s="1414"/>
      <c r="I300" s="1414"/>
      <c r="J300" s="1414"/>
      <c r="K300" s="1414"/>
      <c r="L300" s="1414"/>
      <c r="M300" s="1415"/>
      <c r="N300" s="1080"/>
      <c r="O300" s="1080"/>
      <c r="P300" s="1080"/>
      <c r="Q300" s="1081"/>
      <c r="R300" s="6"/>
      <c r="S300" s="6"/>
      <c r="T300" s="6"/>
    </row>
    <row r="301" spans="1:20" ht="20.25" customHeight="1" x14ac:dyDescent="0.25">
      <c r="A301" s="1316" t="s">
        <v>159</v>
      </c>
      <c r="B301" s="1434"/>
      <c r="C301" s="1434"/>
      <c r="D301" s="1434"/>
      <c r="E301" s="1434"/>
      <c r="F301" s="1434"/>
      <c r="G301" s="1434"/>
      <c r="H301" s="1434"/>
      <c r="I301" s="1434"/>
      <c r="J301" s="1434"/>
      <c r="K301" s="1434"/>
      <c r="L301" s="1434"/>
      <c r="M301" s="1317"/>
      <c r="N301" s="1079"/>
      <c r="O301" s="1080"/>
      <c r="P301" s="1080"/>
      <c r="Q301" s="1081"/>
      <c r="R301" s="6"/>
      <c r="S301" s="6"/>
      <c r="T301" s="6"/>
    </row>
    <row r="302" spans="1:20" ht="20.25" customHeight="1" x14ac:dyDescent="0.25">
      <c r="A302" s="350" t="s">
        <v>160</v>
      </c>
      <c r="B302" s="422"/>
      <c r="C302" s="1428"/>
      <c r="D302" s="1428"/>
      <c r="E302" s="937">
        <f>$D$3*C302*650000</f>
        <v>0</v>
      </c>
      <c r="F302" s="937"/>
      <c r="G302" s="937"/>
      <c r="H302" s="1429"/>
      <c r="I302" s="1429"/>
      <c r="J302" s="944"/>
      <c r="K302" s="944"/>
      <c r="L302" s="944">
        <f>$D$3*J302*650000</f>
        <v>0</v>
      </c>
      <c r="M302" s="944"/>
      <c r="N302" s="1079"/>
      <c r="O302" s="1080"/>
      <c r="P302" s="1080"/>
      <c r="Q302" s="1081"/>
      <c r="R302" s="6"/>
      <c r="S302" s="6"/>
      <c r="T302" s="6"/>
    </row>
    <row r="303" spans="1:20" ht="20.25" customHeight="1" x14ac:dyDescent="0.25">
      <c r="A303" s="350" t="s">
        <v>161</v>
      </c>
      <c r="B303" s="422"/>
      <c r="C303" s="1428"/>
      <c r="D303" s="1428"/>
      <c r="E303" s="937">
        <f>$D$3*C303*65000</f>
        <v>0</v>
      </c>
      <c r="F303" s="937"/>
      <c r="G303" s="937"/>
      <c r="H303" s="1429"/>
      <c r="I303" s="1429"/>
      <c r="J303" s="944"/>
      <c r="K303" s="944"/>
      <c r="L303" s="944">
        <f>$D$3*J303*65000</f>
        <v>0</v>
      </c>
      <c r="M303" s="944"/>
      <c r="N303" s="1079"/>
      <c r="O303" s="1080"/>
      <c r="P303" s="1080"/>
      <c r="Q303" s="1081"/>
      <c r="R303" s="6"/>
      <c r="S303" s="6"/>
      <c r="T303" s="6"/>
    </row>
    <row r="304" spans="1:20" ht="20.25" customHeight="1" x14ac:dyDescent="0.25">
      <c r="A304" s="1316" t="s">
        <v>162</v>
      </c>
      <c r="B304" s="1434"/>
      <c r="C304" s="1434"/>
      <c r="D304" s="1434"/>
      <c r="E304" s="1434"/>
      <c r="F304" s="1434"/>
      <c r="G304" s="1434"/>
      <c r="H304" s="1434"/>
      <c r="I304" s="1434"/>
      <c r="J304" s="1434"/>
      <c r="K304" s="1434"/>
      <c r="L304" s="1434"/>
      <c r="M304" s="1317"/>
      <c r="N304" s="1079"/>
      <c r="O304" s="1080"/>
      <c r="P304" s="1080"/>
      <c r="Q304" s="1081"/>
      <c r="R304" s="6"/>
      <c r="S304" s="6"/>
      <c r="T304" s="6"/>
    </row>
    <row r="305" spans="1:20" ht="20.25" customHeight="1" x14ac:dyDescent="0.25">
      <c r="A305" s="350" t="s">
        <v>160</v>
      </c>
      <c r="B305" s="422"/>
      <c r="C305" s="1428"/>
      <c r="D305" s="1428"/>
      <c r="E305" s="937">
        <f>$D$3*D305*650000</f>
        <v>0</v>
      </c>
      <c r="F305" s="937"/>
      <c r="G305" s="937"/>
      <c r="H305" s="1429"/>
      <c r="I305" s="1429"/>
      <c r="J305" s="944"/>
      <c r="K305" s="944"/>
      <c r="L305" s="944">
        <f>$D$3*J305*650000</f>
        <v>0</v>
      </c>
      <c r="M305" s="944"/>
      <c r="N305" s="1079"/>
      <c r="O305" s="1080"/>
      <c r="P305" s="1080"/>
      <c r="Q305" s="1081"/>
      <c r="R305" s="6"/>
      <c r="S305" s="6"/>
      <c r="T305" s="6"/>
    </row>
    <row r="306" spans="1:20" ht="18.75" customHeight="1" thickBot="1" x14ac:dyDescent="0.3">
      <c r="A306" s="351" t="s">
        <v>161</v>
      </c>
      <c r="B306" s="434"/>
      <c r="C306" s="1430"/>
      <c r="D306" s="1430"/>
      <c r="E306" s="1431">
        <f>$D$3*C306*65000</f>
        <v>0</v>
      </c>
      <c r="F306" s="1431"/>
      <c r="G306" s="1431"/>
      <c r="H306" s="1432"/>
      <c r="I306" s="1432"/>
      <c r="J306" s="1433"/>
      <c r="K306" s="1433"/>
      <c r="L306" s="1433">
        <f>$D$3*J306*65000</f>
        <v>0</v>
      </c>
      <c r="M306" s="1433"/>
      <c r="N306" s="1079"/>
      <c r="O306" s="1080"/>
      <c r="P306" s="1080"/>
      <c r="Q306" s="1081"/>
      <c r="R306" s="6"/>
      <c r="S306" s="6"/>
      <c r="T306" s="6"/>
    </row>
    <row r="307" spans="1:20" ht="19.5" thickBot="1" x14ac:dyDescent="0.35">
      <c r="A307" s="1443" t="s">
        <v>2</v>
      </c>
      <c r="B307" s="1444"/>
      <c r="C307" s="1444"/>
      <c r="D307" s="1444"/>
      <c r="E307" s="1445">
        <f>SUM(E302:G303,E305:G306,E298:G299)</f>
        <v>0</v>
      </c>
      <c r="F307" s="1446"/>
      <c r="G307" s="1446"/>
      <c r="H307" s="1447">
        <f>SUM(H302:I303,H305:I306,H298:I299)</f>
        <v>0</v>
      </c>
      <c r="I307" s="1447"/>
      <c r="J307" s="1448"/>
      <c r="K307" s="1448"/>
      <c r="L307" s="1449">
        <f>SUM(L302:M303,L305:M306,L298:M299)</f>
        <v>0</v>
      </c>
      <c r="M307" s="1450"/>
      <c r="N307" s="1082"/>
      <c r="O307" s="1082"/>
      <c r="P307" s="1082"/>
      <c r="Q307" s="1082"/>
      <c r="R307" s="6"/>
      <c r="S307" s="6"/>
      <c r="T307" s="6"/>
    </row>
    <row r="308" spans="1:20" ht="15.75" thickBot="1" x14ac:dyDescent="0.3">
      <c r="R308" s="6"/>
      <c r="S308" s="6"/>
      <c r="T308" s="6"/>
    </row>
    <row r="309" spans="1:20" s="102" customFormat="1" ht="25.5" customHeight="1" x14ac:dyDescent="0.3">
      <c r="A309" s="1201" t="s">
        <v>517</v>
      </c>
      <c r="B309" s="1202"/>
      <c r="C309" s="1202"/>
      <c r="D309" s="1202"/>
      <c r="E309" s="1202"/>
      <c r="F309" s="1202"/>
      <c r="G309" s="1202"/>
      <c r="H309" s="1202"/>
      <c r="I309" s="1451"/>
      <c r="J309" s="1102" t="s">
        <v>38</v>
      </c>
      <c r="K309" s="1103"/>
      <c r="L309" s="1103"/>
      <c r="M309" s="1103"/>
      <c r="N309" s="1435" t="s">
        <v>39</v>
      </c>
      <c r="O309" s="1106"/>
      <c r="P309" s="1106"/>
      <c r="Q309" s="1107"/>
    </row>
    <row r="310" spans="1:20" ht="15" customHeight="1" x14ac:dyDescent="0.25">
      <c r="A310" s="352" t="e">
        <f>SUM(#REF!)</f>
        <v>#REF!</v>
      </c>
      <c r="B310" s="48"/>
      <c r="C310" s="48"/>
      <c r="D310" s="48"/>
      <c r="E310" s="48"/>
      <c r="F310" s="48"/>
      <c r="G310" s="48"/>
      <c r="H310" s="6"/>
      <c r="I310" s="6"/>
      <c r="J310" s="1421" t="s">
        <v>41</v>
      </c>
      <c r="K310" s="1421"/>
      <c r="L310" s="1421"/>
      <c r="M310" s="1421"/>
      <c r="N310" s="1059"/>
      <c r="O310" s="1000"/>
      <c r="P310" s="1000"/>
      <c r="Q310" s="1001"/>
      <c r="R310" s="6"/>
      <c r="S310" s="6"/>
      <c r="T310" s="6"/>
    </row>
    <row r="311" spans="1:20" s="13" customFormat="1" ht="27.75" customHeight="1" x14ac:dyDescent="0.25">
      <c r="A311" s="353" t="s">
        <v>163</v>
      </c>
      <c r="B311" s="181" t="s">
        <v>518</v>
      </c>
      <c r="C311" s="1041" t="s">
        <v>949</v>
      </c>
      <c r="D311" s="1041"/>
      <c r="E311" s="1437" t="s">
        <v>519</v>
      </c>
      <c r="F311" s="1438"/>
      <c r="G311" s="1439"/>
      <c r="H311" s="1041" t="s">
        <v>933</v>
      </c>
      <c r="I311" s="1041"/>
      <c r="J311" s="1058" t="s">
        <v>158</v>
      </c>
      <c r="K311" s="1058" t="s">
        <v>48</v>
      </c>
      <c r="L311" s="1058" t="s">
        <v>48</v>
      </c>
      <c r="M311" s="1058"/>
      <c r="N311" s="1060"/>
      <c r="O311" s="1002"/>
      <c r="P311" s="1002"/>
      <c r="Q311" s="1003"/>
    </row>
    <row r="312" spans="1:20" ht="27.75" customHeight="1" x14ac:dyDescent="0.25">
      <c r="A312" s="1440" t="s">
        <v>351</v>
      </c>
      <c r="B312" s="1441"/>
      <c r="C312" s="1441"/>
      <c r="D312" s="1441"/>
      <c r="E312" s="1441"/>
      <c r="F312" s="1441"/>
      <c r="G312" s="1441"/>
      <c r="H312" s="1441"/>
      <c r="I312" s="1441"/>
      <c r="J312" s="1441"/>
      <c r="K312" s="1441"/>
      <c r="L312" s="1441"/>
      <c r="M312" s="1442"/>
      <c r="N312" s="1060"/>
      <c r="O312" s="1002"/>
      <c r="P312" s="1002"/>
      <c r="Q312" s="1003"/>
      <c r="R312" s="6"/>
      <c r="S312" s="6"/>
      <c r="T312" s="6"/>
    </row>
    <row r="313" spans="1:20" ht="27.75" customHeight="1" x14ac:dyDescent="0.25">
      <c r="A313" s="839" t="s">
        <v>164</v>
      </c>
      <c r="B313" s="840"/>
      <c r="C313" s="840"/>
      <c r="D313" s="840"/>
      <c r="E313" s="840"/>
      <c r="F313" s="840"/>
      <c r="G313" s="840"/>
      <c r="H313" s="840"/>
      <c r="I313" s="840"/>
      <c r="J313" s="840"/>
      <c r="K313" s="840"/>
      <c r="L313" s="840"/>
      <c r="M313" s="841"/>
      <c r="N313" s="1060"/>
      <c r="O313" s="1002"/>
      <c r="P313" s="1002"/>
      <c r="Q313" s="1003"/>
      <c r="R313" s="6"/>
      <c r="S313" s="6"/>
      <c r="T313" s="6"/>
    </row>
    <row r="314" spans="1:20" ht="27.75" customHeight="1" x14ac:dyDescent="0.25">
      <c r="A314" s="132" t="s">
        <v>165</v>
      </c>
      <c r="B314" s="418"/>
      <c r="C314" s="1452"/>
      <c r="D314" s="1452"/>
      <c r="E314" s="1459"/>
      <c r="F314" s="1460"/>
      <c r="G314" s="1461"/>
      <c r="H314" s="1462"/>
      <c r="I314" s="1462"/>
      <c r="J314" s="1412"/>
      <c r="K314" s="1412"/>
      <c r="L314" s="1463"/>
      <c r="M314" s="1463"/>
      <c r="N314" s="1060"/>
      <c r="O314" s="1002"/>
      <c r="P314" s="1002"/>
      <c r="Q314" s="1003"/>
      <c r="R314" s="6"/>
      <c r="S314" s="6"/>
      <c r="T314" s="6"/>
    </row>
    <row r="315" spans="1:20" ht="27.75" customHeight="1" x14ac:dyDescent="0.25">
      <c r="A315" s="132" t="s">
        <v>166</v>
      </c>
      <c r="B315" s="418"/>
      <c r="C315" s="1452"/>
      <c r="D315" s="1452"/>
      <c r="E315" s="1459"/>
      <c r="F315" s="1460"/>
      <c r="G315" s="1461"/>
      <c r="H315" s="1462"/>
      <c r="I315" s="1462"/>
      <c r="J315" s="1412"/>
      <c r="K315" s="1412"/>
      <c r="L315" s="1463"/>
      <c r="M315" s="1463"/>
      <c r="N315" s="1060"/>
      <c r="O315" s="1002"/>
      <c r="P315" s="1002"/>
      <c r="Q315" s="1003"/>
      <c r="R315" s="6"/>
      <c r="S315" s="6"/>
      <c r="T315" s="6"/>
    </row>
    <row r="316" spans="1:20" ht="33" customHeight="1" x14ac:dyDescent="0.25">
      <c r="A316" s="132" t="s">
        <v>167</v>
      </c>
      <c r="B316" s="418"/>
      <c r="C316" s="1452"/>
      <c r="D316" s="1452"/>
      <c r="E316" s="1459"/>
      <c r="F316" s="1460"/>
      <c r="G316" s="1461"/>
      <c r="H316" s="1462"/>
      <c r="I316" s="1462"/>
      <c r="J316" s="1412"/>
      <c r="K316" s="1412"/>
      <c r="L316" s="1463"/>
      <c r="M316" s="1463"/>
      <c r="N316" s="1060"/>
      <c r="O316" s="1002"/>
      <c r="P316" s="1002"/>
      <c r="Q316" s="1003"/>
      <c r="R316" s="6"/>
      <c r="S316" s="6"/>
      <c r="T316" s="6"/>
    </row>
    <row r="317" spans="1:20" ht="27.75" customHeight="1" x14ac:dyDescent="0.25">
      <c r="A317" s="839" t="s">
        <v>168</v>
      </c>
      <c r="B317" s="840"/>
      <c r="C317" s="840"/>
      <c r="D317" s="840"/>
      <c r="E317" s="840"/>
      <c r="F317" s="840"/>
      <c r="G317" s="840"/>
      <c r="H317" s="840"/>
      <c r="I317" s="840"/>
      <c r="J317" s="840"/>
      <c r="K317" s="840"/>
      <c r="L317" s="840"/>
      <c r="M317" s="841"/>
      <c r="N317" s="1060"/>
      <c r="O317" s="1002"/>
      <c r="P317" s="1002"/>
      <c r="Q317" s="1003"/>
      <c r="R317" s="6"/>
      <c r="S317" s="6"/>
      <c r="T317" s="6"/>
    </row>
    <row r="318" spans="1:20" ht="71.25" customHeight="1" x14ac:dyDescent="0.25">
      <c r="A318" s="190" t="s">
        <v>520</v>
      </c>
      <c r="B318" s="418"/>
      <c r="C318" s="1452"/>
      <c r="D318" s="1452"/>
      <c r="E318" s="1453">
        <f>$D$3*C318*60000</f>
        <v>0</v>
      </c>
      <c r="F318" s="1454"/>
      <c r="G318" s="1455"/>
      <c r="H318" s="1456"/>
      <c r="I318" s="1456"/>
      <c r="J318" s="1457"/>
      <c r="K318" s="1457"/>
      <c r="L318" s="1458"/>
      <c r="M318" s="1458"/>
      <c r="N318" s="1060"/>
      <c r="O318" s="1002"/>
      <c r="P318" s="1002"/>
      <c r="Q318" s="1003"/>
      <c r="R318" s="6"/>
      <c r="S318" s="6"/>
      <c r="T318" s="6"/>
    </row>
    <row r="319" spans="1:20" ht="71.25" customHeight="1" x14ac:dyDescent="0.25">
      <c r="A319" s="190" t="s">
        <v>169</v>
      </c>
      <c r="B319" s="418"/>
      <c r="C319" s="1452"/>
      <c r="D319" s="1452"/>
      <c r="E319" s="1453">
        <f>$D$3*C319*60000</f>
        <v>0</v>
      </c>
      <c r="F319" s="1454"/>
      <c r="G319" s="1455"/>
      <c r="H319" s="1456"/>
      <c r="I319" s="1456"/>
      <c r="J319" s="1457"/>
      <c r="K319" s="1457"/>
      <c r="L319" s="1458"/>
      <c r="M319" s="1458"/>
      <c r="N319" s="1060"/>
      <c r="O319" s="1002"/>
      <c r="P319" s="1002"/>
      <c r="Q319" s="1003"/>
      <c r="R319" s="6"/>
      <c r="S319" s="6"/>
      <c r="T319" s="6"/>
    </row>
    <row r="320" spans="1:20" ht="71.25" customHeight="1" x14ac:dyDescent="0.25">
      <c r="A320" s="190" t="s">
        <v>170</v>
      </c>
      <c r="B320" s="418"/>
      <c r="C320" s="1452"/>
      <c r="D320" s="1452"/>
      <c r="E320" s="1453">
        <f>$D$3*C320*60000</f>
        <v>0</v>
      </c>
      <c r="F320" s="1454"/>
      <c r="G320" s="1455"/>
      <c r="H320" s="1456"/>
      <c r="I320" s="1456"/>
      <c r="J320" s="1457"/>
      <c r="K320" s="1457"/>
      <c r="L320" s="1458"/>
      <c r="M320" s="1458"/>
      <c r="N320" s="1060"/>
      <c r="O320" s="1002"/>
      <c r="P320" s="1002"/>
      <c r="Q320" s="1003"/>
      <c r="R320" s="6"/>
      <c r="S320" s="6"/>
      <c r="T320" s="6"/>
    </row>
    <row r="321" spans="1:20" ht="27.75" customHeight="1" x14ac:dyDescent="0.25">
      <c r="A321" s="132" t="s">
        <v>171</v>
      </c>
      <c r="B321" s="418"/>
      <c r="C321" s="1452"/>
      <c r="D321" s="1452"/>
      <c r="E321" s="1453">
        <f>$D$3*C321*10000</f>
        <v>0</v>
      </c>
      <c r="F321" s="1454"/>
      <c r="G321" s="1455"/>
      <c r="H321" s="1456"/>
      <c r="I321" s="1456"/>
      <c r="J321" s="1457"/>
      <c r="K321" s="1457"/>
      <c r="L321" s="1458"/>
      <c r="M321" s="1458"/>
      <c r="N321" s="1060"/>
      <c r="O321" s="1002"/>
      <c r="P321" s="1002"/>
      <c r="Q321" s="1003"/>
      <c r="R321" s="6"/>
      <c r="S321" s="6"/>
      <c r="T321" s="6"/>
    </row>
    <row r="322" spans="1:20" ht="27.75" customHeight="1" x14ac:dyDescent="0.25">
      <c r="A322" s="132" t="s">
        <v>172</v>
      </c>
      <c r="B322" s="418"/>
      <c r="C322" s="1452"/>
      <c r="D322" s="1452"/>
      <c r="E322" s="1453">
        <f>$D$3*C322*100000</f>
        <v>0</v>
      </c>
      <c r="F322" s="1454"/>
      <c r="G322" s="1455"/>
      <c r="H322" s="1456"/>
      <c r="I322" s="1456"/>
      <c r="J322" s="1457"/>
      <c r="K322" s="1457"/>
      <c r="L322" s="1458"/>
      <c r="M322" s="1458"/>
      <c r="N322" s="1060"/>
      <c r="O322" s="1002"/>
      <c r="P322" s="1002"/>
      <c r="Q322" s="1003"/>
      <c r="R322" s="6"/>
      <c r="S322" s="6"/>
      <c r="T322" s="6"/>
    </row>
    <row r="323" spans="1:20" ht="27.75" customHeight="1" x14ac:dyDescent="0.25">
      <c r="A323" s="132" t="s">
        <v>173</v>
      </c>
      <c r="B323" s="418"/>
      <c r="C323" s="1452"/>
      <c r="D323" s="1452"/>
      <c r="E323" s="1453">
        <f>$D$3*C323*100000</f>
        <v>0</v>
      </c>
      <c r="F323" s="1454"/>
      <c r="G323" s="1455"/>
      <c r="H323" s="1456"/>
      <c r="I323" s="1456"/>
      <c r="J323" s="1457"/>
      <c r="K323" s="1457"/>
      <c r="L323" s="1458"/>
      <c r="M323" s="1458"/>
      <c r="N323" s="1060"/>
      <c r="O323" s="1002"/>
      <c r="P323" s="1002"/>
      <c r="Q323" s="1003"/>
      <c r="R323" s="6"/>
      <c r="S323" s="6"/>
      <c r="T323" s="6"/>
    </row>
    <row r="324" spans="1:20" ht="27.75" customHeight="1" x14ac:dyDescent="0.25">
      <c r="A324" s="132" t="s">
        <v>89</v>
      </c>
      <c r="B324" s="418"/>
      <c r="C324" s="1452"/>
      <c r="D324" s="1452"/>
      <c r="E324" s="1453">
        <f>$D$3*C324*25000</f>
        <v>0</v>
      </c>
      <c r="F324" s="1454"/>
      <c r="G324" s="1455"/>
      <c r="H324" s="1456"/>
      <c r="I324" s="1456"/>
      <c r="J324" s="1457"/>
      <c r="K324" s="1457"/>
      <c r="L324" s="1458"/>
      <c r="M324" s="1458"/>
      <c r="N324" s="1060"/>
      <c r="O324" s="1002"/>
      <c r="P324" s="1002"/>
      <c r="Q324" s="1003"/>
      <c r="R324" s="6"/>
      <c r="S324" s="6"/>
      <c r="T324" s="6"/>
    </row>
    <row r="325" spans="1:20" ht="43.5" customHeight="1" x14ac:dyDescent="0.25">
      <c r="A325" s="132" t="s">
        <v>174</v>
      </c>
      <c r="B325" s="418"/>
      <c r="C325" s="1452"/>
      <c r="D325" s="1452"/>
      <c r="E325" s="1453">
        <f>$D$3*C325*85000</f>
        <v>0</v>
      </c>
      <c r="F325" s="1454"/>
      <c r="G325" s="1455"/>
      <c r="H325" s="1456"/>
      <c r="I325" s="1456"/>
      <c r="J325" s="1457"/>
      <c r="K325" s="1457"/>
      <c r="L325" s="1458"/>
      <c r="M325" s="1458"/>
      <c r="N325" s="1060"/>
      <c r="O325" s="1002"/>
      <c r="P325" s="1002"/>
      <c r="Q325" s="1003"/>
      <c r="R325" s="6"/>
      <c r="S325" s="6"/>
      <c r="T325" s="6"/>
    </row>
    <row r="326" spans="1:20" ht="27.75" customHeight="1" x14ac:dyDescent="0.25">
      <c r="A326" s="342" t="s">
        <v>182</v>
      </c>
      <c r="B326" s="418"/>
      <c r="C326" s="1452"/>
      <c r="D326" s="1452"/>
      <c r="E326" s="1453"/>
      <c r="F326" s="1454"/>
      <c r="G326" s="1455"/>
      <c r="H326" s="1456"/>
      <c r="I326" s="1456"/>
      <c r="J326" s="1457"/>
      <c r="K326" s="1457"/>
      <c r="L326" s="1458"/>
      <c r="M326" s="1458"/>
      <c r="N326" s="1060"/>
      <c r="O326" s="1002"/>
      <c r="P326" s="1002"/>
      <c r="Q326" s="1003"/>
      <c r="R326" s="6"/>
      <c r="S326" s="6"/>
      <c r="T326" s="6"/>
    </row>
    <row r="327" spans="1:20" ht="27.75" customHeight="1" x14ac:dyDescent="0.25">
      <c r="A327" s="342" t="s">
        <v>182</v>
      </c>
      <c r="B327" s="418"/>
      <c r="C327" s="1452"/>
      <c r="D327" s="1452"/>
      <c r="E327" s="1453"/>
      <c r="F327" s="1454"/>
      <c r="G327" s="1455"/>
      <c r="H327" s="1456"/>
      <c r="I327" s="1456"/>
      <c r="J327" s="1457"/>
      <c r="K327" s="1457"/>
      <c r="L327" s="1458"/>
      <c r="M327" s="1458"/>
      <c r="N327" s="1060"/>
      <c r="O327" s="1002"/>
      <c r="P327" s="1002"/>
      <c r="Q327" s="1003"/>
      <c r="R327" s="6"/>
      <c r="S327" s="6"/>
      <c r="T327" s="6"/>
    </row>
    <row r="328" spans="1:20" ht="27.75" customHeight="1" x14ac:dyDescent="0.25">
      <c r="A328" s="342" t="s">
        <v>182</v>
      </c>
      <c r="B328" s="418"/>
      <c r="C328" s="1452"/>
      <c r="D328" s="1452"/>
      <c r="E328" s="1453"/>
      <c r="F328" s="1454"/>
      <c r="G328" s="1455"/>
      <c r="H328" s="1456"/>
      <c r="I328" s="1456"/>
      <c r="J328" s="1457"/>
      <c r="K328" s="1457"/>
      <c r="L328" s="1458"/>
      <c r="M328" s="1458"/>
      <c r="N328" s="1060"/>
      <c r="O328" s="1002"/>
      <c r="P328" s="1002"/>
      <c r="Q328" s="1003"/>
      <c r="R328" s="6"/>
      <c r="S328" s="6"/>
      <c r="T328" s="6"/>
    </row>
    <row r="329" spans="1:20" ht="27.75" customHeight="1" x14ac:dyDescent="0.25">
      <c r="A329" s="934" t="s">
        <v>919</v>
      </c>
      <c r="B329" s="935"/>
      <c r="C329" s="935"/>
      <c r="D329" s="936"/>
      <c r="E329" s="1453"/>
      <c r="F329" s="1454"/>
      <c r="G329" s="1455"/>
      <c r="H329" s="1467">
        <f>SUM(H314:I328)</f>
        <v>0</v>
      </c>
      <c r="I329" s="1467"/>
      <c r="J329" s="1467">
        <f t="shared" ref="J329" si="23">SUM(J314:K328)</f>
        <v>0</v>
      </c>
      <c r="K329" s="1467"/>
      <c r="L329" s="1467">
        <f t="shared" ref="L329" si="24">SUM(L314:M328)</f>
        <v>0</v>
      </c>
      <c r="M329" s="1467"/>
      <c r="N329" s="1060"/>
      <c r="O329" s="1002"/>
      <c r="P329" s="1002"/>
      <c r="Q329" s="1003"/>
      <c r="R329" s="6"/>
      <c r="S329" s="6"/>
      <c r="T329" s="6"/>
    </row>
    <row r="330" spans="1:20" ht="27.75" customHeight="1" x14ac:dyDescent="0.25">
      <c r="A330" s="1440" t="s">
        <v>917</v>
      </c>
      <c r="B330" s="1441"/>
      <c r="C330" s="1441"/>
      <c r="D330" s="1441"/>
      <c r="E330" s="1441"/>
      <c r="F330" s="1441"/>
      <c r="G330" s="1441"/>
      <c r="H330" s="1441"/>
      <c r="I330" s="1441"/>
      <c r="J330" s="1441"/>
      <c r="K330" s="1441"/>
      <c r="L330" s="1441"/>
      <c r="M330" s="1442"/>
      <c r="N330" s="1060"/>
      <c r="O330" s="1002"/>
      <c r="P330" s="1002"/>
      <c r="Q330" s="1003"/>
      <c r="R330" s="6"/>
      <c r="S330" s="6"/>
      <c r="T330" s="6"/>
    </row>
    <row r="331" spans="1:20" ht="33.75" customHeight="1" x14ac:dyDescent="0.25">
      <c r="A331" s="146" t="s">
        <v>164</v>
      </c>
      <c r="B331" s="147"/>
      <c r="C331" s="1464"/>
      <c r="D331" s="1464"/>
      <c r="E331" s="1465"/>
      <c r="F331" s="1465"/>
      <c r="G331" s="1465"/>
      <c r="H331" s="1041" t="s">
        <v>933</v>
      </c>
      <c r="I331" s="1041"/>
      <c r="J331" s="1466"/>
      <c r="K331" s="1466"/>
      <c r="L331" s="1466"/>
      <c r="M331" s="1466"/>
      <c r="N331" s="1060"/>
      <c r="O331" s="1002"/>
      <c r="P331" s="1002"/>
      <c r="Q331" s="1003"/>
      <c r="R331" s="6"/>
      <c r="S331" s="6"/>
      <c r="T331" s="6"/>
    </row>
    <row r="332" spans="1:20" ht="28.5" x14ac:dyDescent="0.25">
      <c r="A332" s="132" t="s">
        <v>165</v>
      </c>
      <c r="B332" s="422"/>
      <c r="C332" s="940"/>
      <c r="D332" s="940"/>
      <c r="E332" s="945"/>
      <c r="F332" s="945"/>
      <c r="G332" s="945"/>
      <c r="H332" s="946"/>
      <c r="I332" s="946"/>
      <c r="J332" s="939"/>
      <c r="K332" s="939"/>
      <c r="L332" s="939"/>
      <c r="M332" s="939"/>
      <c r="N332" s="1060"/>
      <c r="O332" s="1002"/>
      <c r="P332" s="1002"/>
      <c r="Q332" s="1003"/>
      <c r="R332" s="6"/>
      <c r="S332" s="6"/>
      <c r="T332" s="6"/>
    </row>
    <row r="333" spans="1:20" x14ac:dyDescent="0.25">
      <c r="A333" s="132" t="s">
        <v>166</v>
      </c>
      <c r="B333" s="422"/>
      <c r="C333" s="940"/>
      <c r="D333" s="940"/>
      <c r="E333" s="945"/>
      <c r="F333" s="945"/>
      <c r="G333" s="945"/>
      <c r="H333" s="946"/>
      <c r="I333" s="946"/>
      <c r="J333" s="939"/>
      <c r="K333" s="939"/>
      <c r="L333" s="939"/>
      <c r="M333" s="939"/>
      <c r="N333" s="1060"/>
      <c r="O333" s="1002"/>
      <c r="P333" s="1002"/>
      <c r="Q333" s="1003"/>
      <c r="R333" s="6"/>
      <c r="S333" s="6"/>
      <c r="T333" s="6"/>
    </row>
    <row r="334" spans="1:20" ht="42.75" customHeight="1" x14ac:dyDescent="0.25">
      <c r="A334" s="132" t="s">
        <v>167</v>
      </c>
      <c r="B334" s="422"/>
      <c r="C334" s="940"/>
      <c r="D334" s="940"/>
      <c r="E334" s="945"/>
      <c r="F334" s="945"/>
      <c r="G334" s="945"/>
      <c r="H334" s="946"/>
      <c r="I334" s="946"/>
      <c r="J334" s="939"/>
      <c r="K334" s="939"/>
      <c r="L334" s="939"/>
      <c r="M334" s="939"/>
      <c r="N334" s="1060"/>
      <c r="O334" s="1002"/>
      <c r="P334" s="1002"/>
      <c r="Q334" s="1003"/>
      <c r="R334" s="6"/>
      <c r="S334" s="6"/>
      <c r="T334" s="6"/>
    </row>
    <row r="335" spans="1:20" x14ac:dyDescent="0.25">
      <c r="A335" s="146" t="s">
        <v>168</v>
      </c>
      <c r="B335" s="147"/>
      <c r="C335" s="1464"/>
      <c r="D335" s="1464"/>
      <c r="E335" s="1465"/>
      <c r="F335" s="1465"/>
      <c r="G335" s="1465"/>
      <c r="H335" s="1471"/>
      <c r="I335" s="1471"/>
      <c r="J335" s="1466"/>
      <c r="K335" s="1466"/>
      <c r="L335" s="1466"/>
      <c r="M335" s="1466"/>
      <c r="N335" s="1060"/>
      <c r="O335" s="1002"/>
      <c r="P335" s="1002"/>
      <c r="Q335" s="1003"/>
      <c r="R335" s="6"/>
      <c r="S335" s="6"/>
      <c r="T335" s="6"/>
    </row>
    <row r="336" spans="1:20" ht="48.75" x14ac:dyDescent="0.25">
      <c r="A336" s="132" t="s">
        <v>772</v>
      </c>
      <c r="B336" s="422"/>
      <c r="C336" s="1468"/>
      <c r="D336" s="1469"/>
      <c r="E336" s="1470"/>
      <c r="F336" s="1470"/>
      <c r="G336" s="1470"/>
      <c r="H336" s="938"/>
      <c r="I336" s="938"/>
      <c r="J336" s="939"/>
      <c r="K336" s="939"/>
      <c r="L336" s="944"/>
      <c r="M336" s="944"/>
      <c r="N336" s="1060"/>
      <c r="O336" s="1002"/>
      <c r="P336" s="1002"/>
      <c r="Q336" s="1003"/>
      <c r="R336" s="6"/>
      <c r="S336" s="6"/>
      <c r="T336" s="6"/>
    </row>
    <row r="337" spans="1:20" ht="66" x14ac:dyDescent="0.25">
      <c r="A337" s="132" t="s">
        <v>169</v>
      </c>
      <c r="B337" s="422"/>
      <c r="C337" s="940"/>
      <c r="D337" s="940"/>
      <c r="E337" s="1453"/>
      <c r="F337" s="1454"/>
      <c r="G337" s="1455"/>
      <c r="H337" s="938"/>
      <c r="I337" s="938"/>
      <c r="J337" s="939"/>
      <c r="K337" s="939"/>
      <c r="L337" s="944"/>
      <c r="M337" s="944"/>
      <c r="N337" s="1060"/>
      <c r="O337" s="1002"/>
      <c r="P337" s="1002"/>
      <c r="Q337" s="1003"/>
      <c r="R337" s="6"/>
      <c r="S337" s="6"/>
      <c r="T337" s="6"/>
    </row>
    <row r="338" spans="1:20" ht="63" x14ac:dyDescent="0.25">
      <c r="A338" s="132" t="s">
        <v>170</v>
      </c>
      <c r="B338" s="422"/>
      <c r="C338" s="940"/>
      <c r="D338" s="940"/>
      <c r="E338" s="1453"/>
      <c r="F338" s="1454"/>
      <c r="G338" s="1455"/>
      <c r="H338" s="938"/>
      <c r="I338" s="938"/>
      <c r="J338" s="939"/>
      <c r="K338" s="939"/>
      <c r="L338" s="944"/>
      <c r="M338" s="944"/>
      <c r="N338" s="1060"/>
      <c r="O338" s="1002"/>
      <c r="P338" s="1002"/>
      <c r="Q338" s="1003"/>
      <c r="R338" s="6"/>
      <c r="S338" s="6"/>
      <c r="T338" s="6"/>
    </row>
    <row r="339" spans="1:20" x14ac:dyDescent="0.25">
      <c r="A339" s="132" t="s">
        <v>171</v>
      </c>
      <c r="B339" s="422"/>
      <c r="C339" s="940"/>
      <c r="D339" s="940"/>
      <c r="E339" s="937"/>
      <c r="F339" s="937"/>
      <c r="G339" s="937"/>
      <c r="H339" s="938"/>
      <c r="I339" s="938"/>
      <c r="J339" s="939"/>
      <c r="K339" s="939"/>
      <c r="L339" s="944"/>
      <c r="M339" s="944"/>
      <c r="N339" s="1060"/>
      <c r="O339" s="1002"/>
      <c r="P339" s="1002"/>
      <c r="Q339" s="1003"/>
      <c r="R339" s="6"/>
      <c r="S339" s="6"/>
      <c r="T339" s="6"/>
    </row>
    <row r="340" spans="1:20" x14ac:dyDescent="0.25">
      <c r="A340" s="132" t="s">
        <v>172</v>
      </c>
      <c r="B340" s="813"/>
      <c r="C340" s="940"/>
      <c r="D340" s="940"/>
      <c r="E340" s="937"/>
      <c r="F340" s="937"/>
      <c r="G340" s="937"/>
      <c r="H340" s="938"/>
      <c r="I340" s="938"/>
      <c r="J340" s="939"/>
      <c r="K340" s="939"/>
      <c r="L340" s="944"/>
      <c r="M340" s="944"/>
      <c r="N340" s="1060"/>
      <c r="O340" s="1002"/>
      <c r="P340" s="1002"/>
      <c r="Q340" s="1003"/>
      <c r="R340" s="6"/>
      <c r="S340" s="6"/>
      <c r="T340" s="6"/>
    </row>
    <row r="341" spans="1:20" ht="28.5" x14ac:dyDescent="0.25">
      <c r="A341" s="132" t="s">
        <v>173</v>
      </c>
      <c r="B341" s="813"/>
      <c r="C341" s="940"/>
      <c r="D341" s="940"/>
      <c r="E341" s="937"/>
      <c r="F341" s="937"/>
      <c r="G341" s="937"/>
      <c r="H341" s="938"/>
      <c r="I341" s="938"/>
      <c r="J341" s="939"/>
      <c r="K341" s="939"/>
      <c r="L341" s="944"/>
      <c r="M341" s="944"/>
      <c r="N341" s="1060"/>
      <c r="O341" s="1002"/>
      <c r="P341" s="1002"/>
      <c r="Q341" s="1003"/>
      <c r="R341" s="6"/>
      <c r="S341" s="6"/>
      <c r="T341" s="6"/>
    </row>
    <row r="342" spans="1:20" x14ac:dyDescent="0.25">
      <c r="A342" s="132" t="s">
        <v>89</v>
      </c>
      <c r="B342" s="813"/>
      <c r="C342" s="940"/>
      <c r="D342" s="940"/>
      <c r="E342" s="937"/>
      <c r="F342" s="937"/>
      <c r="G342" s="937"/>
      <c r="H342" s="938"/>
      <c r="I342" s="938"/>
      <c r="J342" s="939"/>
      <c r="K342" s="939"/>
      <c r="L342" s="944"/>
      <c r="M342" s="944"/>
      <c r="N342" s="1060"/>
      <c r="O342" s="1002"/>
      <c r="P342" s="1002"/>
      <c r="Q342" s="1003"/>
      <c r="R342" s="6"/>
      <c r="S342" s="6"/>
      <c r="T342" s="6"/>
    </row>
    <row r="343" spans="1:20" ht="42.75" x14ac:dyDescent="0.25">
      <c r="A343" s="132" t="s">
        <v>174</v>
      </c>
      <c r="B343" s="813"/>
      <c r="C343" s="940"/>
      <c r="D343" s="940"/>
      <c r="E343" s="937"/>
      <c r="F343" s="937"/>
      <c r="G343" s="937"/>
      <c r="H343" s="938"/>
      <c r="I343" s="938"/>
      <c r="J343" s="939"/>
      <c r="K343" s="939"/>
      <c r="L343" s="944"/>
      <c r="M343" s="944"/>
      <c r="N343" s="1060"/>
      <c r="O343" s="1002"/>
      <c r="P343" s="1002"/>
      <c r="Q343" s="1003"/>
      <c r="R343" s="6"/>
      <c r="S343" s="6"/>
      <c r="T343" s="6"/>
    </row>
    <row r="344" spans="1:20" x14ac:dyDescent="0.25">
      <c r="A344" s="132" t="s">
        <v>773</v>
      </c>
      <c r="B344" s="813"/>
      <c r="C344" s="940"/>
      <c r="D344" s="940"/>
      <c r="E344" s="937"/>
      <c r="F344" s="937"/>
      <c r="G344" s="937"/>
      <c r="H344" s="938"/>
      <c r="I344" s="938"/>
      <c r="J344" s="939"/>
      <c r="K344" s="939"/>
      <c r="L344" s="944"/>
      <c r="M344" s="944"/>
      <c r="N344" s="1060"/>
      <c r="O344" s="1002"/>
      <c r="P344" s="1002"/>
      <c r="Q344" s="1003"/>
      <c r="R344" s="6"/>
      <c r="S344" s="6"/>
      <c r="T344" s="6"/>
    </row>
    <row r="345" spans="1:20" x14ac:dyDescent="0.25">
      <c r="A345" s="132" t="s">
        <v>175</v>
      </c>
      <c r="B345" s="813"/>
      <c r="C345" s="940"/>
      <c r="D345" s="940"/>
      <c r="E345" s="937"/>
      <c r="F345" s="937"/>
      <c r="G345" s="937"/>
      <c r="H345" s="938"/>
      <c r="I345" s="938"/>
      <c r="J345" s="939"/>
      <c r="K345" s="939"/>
      <c r="L345" s="944"/>
      <c r="M345" s="944"/>
      <c r="N345" s="1060"/>
      <c r="O345" s="1002"/>
      <c r="P345" s="1002"/>
      <c r="Q345" s="1003"/>
      <c r="R345" s="6"/>
      <c r="S345" s="6"/>
      <c r="T345" s="6"/>
    </row>
    <row r="346" spans="1:20" ht="42.75" x14ac:dyDescent="0.25">
      <c r="A346" s="132" t="s">
        <v>774</v>
      </c>
      <c r="B346" s="813"/>
      <c r="C346" s="940"/>
      <c r="D346" s="940"/>
      <c r="E346" s="937"/>
      <c r="F346" s="937"/>
      <c r="G346" s="937"/>
      <c r="H346" s="938"/>
      <c r="I346" s="938"/>
      <c r="J346" s="939"/>
      <c r="K346" s="939"/>
      <c r="L346" s="944"/>
      <c r="M346" s="944"/>
      <c r="N346" s="1060"/>
      <c r="O346" s="1002"/>
      <c r="P346" s="1002"/>
      <c r="Q346" s="1003"/>
      <c r="R346" s="6"/>
      <c r="S346" s="6"/>
      <c r="T346" s="6"/>
    </row>
    <row r="347" spans="1:20" x14ac:dyDescent="0.25">
      <c r="A347" s="838" t="s">
        <v>775</v>
      </c>
      <c r="B347" s="813"/>
      <c r="C347" s="940"/>
      <c r="D347" s="940"/>
      <c r="E347" s="937"/>
      <c r="F347" s="937"/>
      <c r="G347" s="937"/>
      <c r="H347" s="938"/>
      <c r="I347" s="938"/>
      <c r="J347" s="939"/>
      <c r="K347" s="939"/>
      <c r="L347" s="944"/>
      <c r="M347" s="944"/>
      <c r="N347" s="1060"/>
      <c r="O347" s="1002"/>
      <c r="P347" s="1002"/>
      <c r="Q347" s="1003"/>
      <c r="R347" s="6"/>
      <c r="S347" s="6"/>
      <c r="T347" s="6"/>
    </row>
    <row r="348" spans="1:20" x14ac:dyDescent="0.25">
      <c r="A348" s="838" t="s">
        <v>775</v>
      </c>
      <c r="B348" s="422"/>
      <c r="C348" s="940"/>
      <c r="D348" s="940"/>
      <c r="E348" s="937"/>
      <c r="F348" s="937"/>
      <c r="G348" s="937"/>
      <c r="H348" s="938"/>
      <c r="I348" s="938"/>
      <c r="J348" s="939"/>
      <c r="K348" s="939"/>
      <c r="L348" s="944"/>
      <c r="M348" s="944"/>
      <c r="N348" s="1060"/>
      <c r="O348" s="1002"/>
      <c r="P348" s="1002"/>
      <c r="Q348" s="1003"/>
      <c r="R348" s="6"/>
      <c r="S348" s="6"/>
      <c r="T348" s="6"/>
    </row>
    <row r="349" spans="1:20" x14ac:dyDescent="0.25">
      <c r="A349" s="838" t="s">
        <v>775</v>
      </c>
      <c r="B349" s="422"/>
      <c r="C349" s="940"/>
      <c r="D349" s="940"/>
      <c r="E349" s="937"/>
      <c r="F349" s="937"/>
      <c r="G349" s="937"/>
      <c r="H349" s="938"/>
      <c r="I349" s="938"/>
      <c r="J349" s="939"/>
      <c r="K349" s="939"/>
      <c r="L349" s="944"/>
      <c r="M349" s="944"/>
      <c r="N349" s="1060"/>
      <c r="O349" s="1002"/>
      <c r="P349" s="1002"/>
      <c r="Q349" s="1003"/>
      <c r="R349" s="6"/>
      <c r="S349" s="6"/>
      <c r="T349" s="6"/>
    </row>
    <row r="350" spans="1:20" x14ac:dyDescent="0.25">
      <c r="A350" s="838" t="s">
        <v>775</v>
      </c>
      <c r="B350" s="422"/>
      <c r="C350" s="940"/>
      <c r="D350" s="940"/>
      <c r="E350" s="1453"/>
      <c r="F350" s="1454"/>
      <c r="G350" s="1455"/>
      <c r="H350" s="938"/>
      <c r="I350" s="938"/>
      <c r="J350" s="939"/>
      <c r="K350" s="939"/>
      <c r="L350" s="944"/>
      <c r="M350" s="944"/>
      <c r="N350" s="1060"/>
      <c r="O350" s="1002"/>
      <c r="P350" s="1002"/>
      <c r="Q350" s="1003"/>
      <c r="R350" s="6"/>
      <c r="S350" s="6"/>
      <c r="T350" s="6"/>
    </row>
    <row r="351" spans="1:20" x14ac:dyDescent="0.25">
      <c r="A351" s="838" t="s">
        <v>775</v>
      </c>
      <c r="B351" s="422"/>
      <c r="C351" s="940"/>
      <c r="D351" s="940"/>
      <c r="E351" s="937"/>
      <c r="F351" s="937"/>
      <c r="G351" s="937"/>
      <c r="H351" s="938"/>
      <c r="I351" s="938"/>
      <c r="J351" s="939"/>
      <c r="K351" s="939"/>
      <c r="L351" s="944"/>
      <c r="M351" s="944"/>
      <c r="N351" s="1060"/>
      <c r="O351" s="1002"/>
      <c r="P351" s="1002"/>
      <c r="Q351" s="1003"/>
      <c r="R351" s="6"/>
      <c r="S351" s="6"/>
      <c r="T351" s="6"/>
    </row>
    <row r="352" spans="1:20" x14ac:dyDescent="0.25">
      <c r="A352" s="838" t="s">
        <v>775</v>
      </c>
      <c r="B352" s="422"/>
      <c r="C352" s="940"/>
      <c r="D352" s="940"/>
      <c r="E352" s="937"/>
      <c r="F352" s="937"/>
      <c r="G352" s="937"/>
      <c r="H352" s="938"/>
      <c r="I352" s="938"/>
      <c r="J352" s="939"/>
      <c r="K352" s="939"/>
      <c r="L352" s="944"/>
      <c r="M352" s="944"/>
      <c r="N352" s="1060"/>
      <c r="O352" s="1002"/>
      <c r="P352" s="1002"/>
      <c r="Q352" s="1003"/>
      <c r="R352" s="6"/>
      <c r="S352" s="6"/>
      <c r="T352" s="6"/>
    </row>
    <row r="353" spans="1:20" ht="15.75" thickBot="1" x14ac:dyDescent="0.3">
      <c r="A353" s="838" t="s">
        <v>775</v>
      </c>
      <c r="B353" s="422"/>
      <c r="C353" s="940"/>
      <c r="D353" s="940"/>
      <c r="E353" s="945"/>
      <c r="F353" s="945"/>
      <c r="G353" s="945"/>
      <c r="H353" s="938"/>
      <c r="I353" s="938"/>
      <c r="J353" s="939"/>
      <c r="K353" s="939"/>
      <c r="L353" s="939"/>
      <c r="M353" s="939"/>
      <c r="N353" s="1060"/>
      <c r="O353" s="1002"/>
      <c r="P353" s="1002"/>
      <c r="Q353" s="1003"/>
      <c r="R353" s="6"/>
      <c r="S353" s="6"/>
      <c r="T353" s="6"/>
    </row>
    <row r="354" spans="1:20" ht="15.75" thickBot="1" x14ac:dyDescent="0.3">
      <c r="A354" s="931" t="s">
        <v>918</v>
      </c>
      <c r="B354" s="932"/>
      <c r="C354" s="932"/>
      <c r="D354" s="933"/>
      <c r="E354" s="1475"/>
      <c r="F354" s="1476"/>
      <c r="G354" s="1477"/>
      <c r="H354" s="1475">
        <f>SUM(H332:I353)</f>
        <v>0</v>
      </c>
      <c r="I354" s="1478"/>
      <c r="J354" s="1479"/>
      <c r="K354" s="1480"/>
      <c r="L354" s="1475">
        <f>SUM(L331:M333,L335:M353,L317:M328)</f>
        <v>0</v>
      </c>
      <c r="M354" s="1481"/>
      <c r="N354" s="1060"/>
      <c r="O354" s="1002"/>
      <c r="P354" s="1002"/>
      <c r="Q354" s="1003"/>
      <c r="R354" s="6"/>
      <c r="S354" s="6"/>
      <c r="T354" s="6"/>
    </row>
    <row r="355" spans="1:20" ht="15.75" thickBot="1" x14ac:dyDescent="0.3">
      <c r="A355" s="1482" t="s">
        <v>2</v>
      </c>
      <c r="B355" s="932"/>
      <c r="C355" s="932"/>
      <c r="D355" s="933"/>
      <c r="E355" s="1475">
        <f>SUM(E332:G334,E336:G354,E318:G329)</f>
        <v>0</v>
      </c>
      <c r="F355" s="1476"/>
      <c r="G355" s="1477"/>
      <c r="H355" s="1475"/>
      <c r="I355" s="1478"/>
      <c r="J355" s="1479"/>
      <c r="K355" s="1480"/>
      <c r="L355" s="1475">
        <f>SUM(L332:M334,L336:M354,L318:M329)</f>
        <v>0</v>
      </c>
      <c r="M355" s="1481"/>
      <c r="N355" s="1004"/>
      <c r="O355" s="1004"/>
      <c r="P355" s="1004"/>
      <c r="Q355" s="1436"/>
      <c r="R355" s="6"/>
      <c r="S355" s="6"/>
      <c r="T355" s="6"/>
    </row>
    <row r="356" spans="1:20" s="9" customFormat="1" ht="15.75" thickBot="1" x14ac:dyDescent="0.3">
      <c r="A356" s="148"/>
      <c r="B356" s="148"/>
      <c r="C356" s="148"/>
      <c r="D356" s="148"/>
      <c r="E356" s="149"/>
      <c r="F356" s="138"/>
      <c r="G356" s="138"/>
      <c r="H356" s="149"/>
      <c r="I356" s="149"/>
      <c r="J356" s="149"/>
      <c r="K356" s="149"/>
      <c r="L356" s="149"/>
      <c r="M356" s="149"/>
    </row>
    <row r="357" spans="1:20" ht="19.5" customHeight="1" x14ac:dyDescent="0.25">
      <c r="A357" s="1201" t="s">
        <v>521</v>
      </c>
      <c r="B357" s="1202"/>
      <c r="C357" s="1202"/>
      <c r="D357" s="1202"/>
      <c r="E357" s="1202"/>
      <c r="F357" s="1202"/>
      <c r="G357" s="1202"/>
      <c r="H357" s="1202"/>
      <c r="I357" s="1451"/>
      <c r="J357" s="1160" t="s">
        <v>38</v>
      </c>
      <c r="K357" s="1160"/>
      <c r="L357" s="1160"/>
      <c r="M357" s="1160"/>
      <c r="N357" s="1472" t="s">
        <v>39</v>
      </c>
      <c r="O357" s="1140"/>
      <c r="P357" s="1140"/>
      <c r="Q357" s="1141"/>
      <c r="R357" s="6"/>
      <c r="S357" s="6"/>
      <c r="T357" s="6"/>
    </row>
    <row r="358" spans="1:20" x14ac:dyDescent="0.25">
      <c r="A358" s="355"/>
      <c r="B358" s="13"/>
      <c r="C358" s="13"/>
      <c r="D358" s="13"/>
      <c r="E358" s="13"/>
      <c r="F358" s="13"/>
      <c r="G358" s="13"/>
      <c r="H358" s="13"/>
      <c r="I358" s="13"/>
      <c r="J358" s="1057" t="s">
        <v>68</v>
      </c>
      <c r="K358" s="1057"/>
      <c r="L358" s="1058" t="s">
        <v>41</v>
      </c>
      <c r="M358" s="1058"/>
      <c r="N358" s="1323"/>
      <c r="O358" s="1324"/>
      <c r="P358" s="1324"/>
      <c r="Q358" s="1325"/>
      <c r="R358" s="6"/>
      <c r="S358" s="6"/>
      <c r="T358" s="6"/>
    </row>
    <row r="359" spans="1:20" ht="62.25" customHeight="1" x14ac:dyDescent="0.25">
      <c r="A359" s="1474" t="s">
        <v>42</v>
      </c>
      <c r="B359" s="1194"/>
      <c r="C359" s="1194" t="s">
        <v>176</v>
      </c>
      <c r="D359" s="1194"/>
      <c r="E359" s="199" t="s">
        <v>177</v>
      </c>
      <c r="F359" s="1194" t="s">
        <v>945</v>
      </c>
      <c r="G359" s="1194"/>
      <c r="H359" s="1194" t="s">
        <v>950</v>
      </c>
      <c r="I359" s="1194"/>
      <c r="J359" s="1057"/>
      <c r="K359" s="1057"/>
      <c r="L359" s="185" t="s">
        <v>47</v>
      </c>
      <c r="M359" s="185" t="s">
        <v>48</v>
      </c>
      <c r="N359" s="1323"/>
      <c r="O359" s="1324"/>
      <c r="P359" s="1324"/>
      <c r="Q359" s="1325"/>
      <c r="R359" s="6"/>
      <c r="S359" s="6"/>
      <c r="T359" s="6"/>
    </row>
    <row r="360" spans="1:20" ht="33" customHeight="1" x14ac:dyDescent="0.25">
      <c r="A360" s="1062" t="s">
        <v>178</v>
      </c>
      <c r="B360" s="1063"/>
      <c r="C360" s="1483"/>
      <c r="D360" s="1483"/>
      <c r="E360" s="435"/>
      <c r="F360" s="1483"/>
      <c r="G360" s="1483"/>
      <c r="H360" s="1483"/>
      <c r="I360" s="1483"/>
      <c r="J360" s="929" t="e">
        <f t="shared" ref="J360:J365" si="25">E360/F360</f>
        <v>#DIV/0!</v>
      </c>
      <c r="K360" s="930"/>
      <c r="L360" s="312" t="e">
        <f t="shared" ref="L360:L365" si="26">M360/H360</f>
        <v>#REF!</v>
      </c>
      <c r="M360" s="104" t="e">
        <f>SUM(#REF!)</f>
        <v>#REF!</v>
      </c>
      <c r="N360" s="1323"/>
      <c r="O360" s="1324"/>
      <c r="P360" s="1324"/>
      <c r="Q360" s="1325"/>
      <c r="R360" s="6"/>
      <c r="S360" s="6"/>
      <c r="T360" s="6"/>
    </row>
    <row r="361" spans="1:20" ht="59.25" customHeight="1" x14ac:dyDescent="0.25">
      <c r="A361" s="1062" t="s">
        <v>179</v>
      </c>
      <c r="B361" s="1063"/>
      <c r="C361" s="1483"/>
      <c r="D361" s="1483"/>
      <c r="E361" s="435"/>
      <c r="F361" s="1483"/>
      <c r="G361" s="1483"/>
      <c r="H361" s="1483"/>
      <c r="I361" s="1483"/>
      <c r="J361" s="929" t="e">
        <f t="shared" si="25"/>
        <v>#DIV/0!</v>
      </c>
      <c r="K361" s="930"/>
      <c r="L361" s="312" t="e">
        <f t="shared" si="26"/>
        <v>#REF!</v>
      </c>
      <c r="M361" s="104" t="e">
        <f>SUM(#REF!)</f>
        <v>#REF!</v>
      </c>
      <c r="N361" s="1323"/>
      <c r="O361" s="1324"/>
      <c r="P361" s="1324"/>
      <c r="Q361" s="1325"/>
      <c r="R361" s="6"/>
      <c r="S361" s="6"/>
      <c r="T361" s="6"/>
    </row>
    <row r="362" spans="1:20" ht="59.25" customHeight="1" x14ac:dyDescent="0.25">
      <c r="A362" s="1062" t="s">
        <v>180</v>
      </c>
      <c r="B362" s="1063"/>
      <c r="C362" s="1483"/>
      <c r="D362" s="1483"/>
      <c r="E362" s="435"/>
      <c r="F362" s="1483"/>
      <c r="G362" s="1483"/>
      <c r="H362" s="1483"/>
      <c r="I362" s="1483"/>
      <c r="J362" s="929" t="e">
        <f t="shared" si="25"/>
        <v>#DIV/0!</v>
      </c>
      <c r="K362" s="930"/>
      <c r="L362" s="312" t="e">
        <f t="shared" si="26"/>
        <v>#REF!</v>
      </c>
      <c r="M362" s="104" t="e">
        <f>SUM(#REF!)</f>
        <v>#REF!</v>
      </c>
      <c r="N362" s="1323"/>
      <c r="O362" s="1324"/>
      <c r="P362" s="1324"/>
      <c r="Q362" s="1325"/>
      <c r="R362" s="6"/>
      <c r="S362" s="6"/>
      <c r="T362" s="6"/>
    </row>
    <row r="363" spans="1:20" ht="33" customHeight="1" x14ac:dyDescent="0.25">
      <c r="A363" s="1062" t="s">
        <v>181</v>
      </c>
      <c r="B363" s="1063"/>
      <c r="C363" s="1483"/>
      <c r="D363" s="1483"/>
      <c r="E363" s="435"/>
      <c r="F363" s="1483"/>
      <c r="G363" s="1483"/>
      <c r="H363" s="1483"/>
      <c r="I363" s="1483"/>
      <c r="J363" s="929" t="e">
        <f t="shared" si="25"/>
        <v>#DIV/0!</v>
      </c>
      <c r="K363" s="930"/>
      <c r="L363" s="312" t="e">
        <f t="shared" si="26"/>
        <v>#REF!</v>
      </c>
      <c r="M363" s="104" t="e">
        <f>SUM(#REF!)</f>
        <v>#REF!</v>
      </c>
      <c r="N363" s="1323"/>
      <c r="O363" s="1324"/>
      <c r="P363" s="1324"/>
      <c r="Q363" s="1325"/>
      <c r="R363" s="6"/>
      <c r="S363" s="6"/>
      <c r="T363" s="6"/>
    </row>
    <row r="364" spans="1:20" ht="33" customHeight="1" thickBot="1" x14ac:dyDescent="0.3">
      <c r="A364" s="1174" t="s">
        <v>182</v>
      </c>
      <c r="B364" s="1487"/>
      <c r="C364" s="1488"/>
      <c r="D364" s="1488"/>
      <c r="E364" s="436"/>
      <c r="F364" s="1488"/>
      <c r="G364" s="1488"/>
      <c r="H364" s="1488"/>
      <c r="I364" s="1488"/>
      <c r="J364" s="1369" t="e">
        <f t="shared" si="25"/>
        <v>#DIV/0!</v>
      </c>
      <c r="K364" s="1370"/>
      <c r="L364" s="92" t="e">
        <f t="shared" si="26"/>
        <v>#REF!</v>
      </c>
      <c r="M364" s="94" t="e">
        <f>SUM(#REF!)</f>
        <v>#REF!</v>
      </c>
      <c r="N364" s="1323"/>
      <c r="O364" s="1324"/>
      <c r="P364" s="1324"/>
      <c r="Q364" s="1325"/>
      <c r="R364" s="6"/>
      <c r="S364" s="6"/>
      <c r="T364" s="6"/>
    </row>
    <row r="365" spans="1:20" ht="33" customHeight="1" thickBot="1" x14ac:dyDescent="0.3">
      <c r="A365" s="1482" t="s">
        <v>143</v>
      </c>
      <c r="B365" s="933"/>
      <c r="C365" s="1489">
        <f>SUM(C360:D364)</f>
        <v>0</v>
      </c>
      <c r="D365" s="1489"/>
      <c r="E365" s="215">
        <f>SUM(E360:E364)</f>
        <v>0</v>
      </c>
      <c r="F365" s="1489">
        <f>SUM(F360:G364)</f>
        <v>0</v>
      </c>
      <c r="G365" s="1489"/>
      <c r="H365" s="1489">
        <f>SUM(H360:I364)</f>
        <v>0</v>
      </c>
      <c r="I365" s="1489"/>
      <c r="J365" s="1374" t="e">
        <f t="shared" si="25"/>
        <v>#DIV/0!</v>
      </c>
      <c r="K365" s="1375"/>
      <c r="L365" s="126" t="e">
        <f t="shared" si="26"/>
        <v>#REF!</v>
      </c>
      <c r="M365" s="127" t="e">
        <f>SUM(M360:M364)</f>
        <v>#REF!</v>
      </c>
      <c r="N365" s="1473"/>
      <c r="O365" s="1473"/>
      <c r="P365" s="1473"/>
      <c r="Q365" s="1473"/>
      <c r="R365" s="6"/>
      <c r="S365" s="6"/>
      <c r="T365" s="6"/>
    </row>
    <row r="366" spans="1:20" ht="15.75" thickBot="1" x14ac:dyDescent="0.3">
      <c r="C366" s="150"/>
      <c r="D366" s="150"/>
      <c r="E366" s="150"/>
      <c r="F366" s="150"/>
      <c r="G366" s="150"/>
      <c r="H366" s="150"/>
      <c r="I366" s="150"/>
      <c r="R366" s="6"/>
      <c r="S366" s="6"/>
      <c r="T366" s="6"/>
    </row>
    <row r="367" spans="1:20" ht="18" x14ac:dyDescent="0.25">
      <c r="A367" s="1201" t="s">
        <v>183</v>
      </c>
      <c r="B367" s="1202"/>
      <c r="C367" s="1202"/>
      <c r="D367" s="1202"/>
      <c r="E367" s="1202"/>
      <c r="F367" s="1202"/>
      <c r="G367" s="1202"/>
      <c r="H367" s="1202"/>
      <c r="I367" s="1451"/>
      <c r="J367" s="1160" t="s">
        <v>38</v>
      </c>
      <c r="K367" s="1160"/>
      <c r="L367" s="1160"/>
      <c r="M367" s="1160"/>
      <c r="N367" s="1472" t="s">
        <v>39</v>
      </c>
      <c r="O367" s="1140"/>
      <c r="P367" s="1140"/>
      <c r="Q367" s="1141"/>
      <c r="R367" s="6"/>
      <c r="S367" s="6"/>
      <c r="T367" s="6"/>
    </row>
    <row r="368" spans="1:20" ht="15" customHeight="1" x14ac:dyDescent="0.25">
      <c r="A368" s="355"/>
      <c r="B368" s="13"/>
      <c r="C368" s="13"/>
      <c r="D368" s="13"/>
      <c r="E368" s="13"/>
      <c r="F368" s="13"/>
      <c r="G368" s="13"/>
      <c r="H368" s="13"/>
      <c r="I368" s="13"/>
      <c r="J368" s="1057" t="s">
        <v>68</v>
      </c>
      <c r="K368" s="1057"/>
      <c r="L368" s="1058"/>
      <c r="M368" s="1058"/>
      <c r="N368" s="1323"/>
      <c r="O368" s="1324"/>
      <c r="P368" s="1324"/>
      <c r="Q368" s="1325"/>
      <c r="R368" s="6"/>
      <c r="S368" s="6"/>
      <c r="T368" s="6"/>
    </row>
    <row r="369" spans="1:20" ht="57" customHeight="1" x14ac:dyDescent="0.25">
      <c r="A369" s="1484" t="s">
        <v>42</v>
      </c>
      <c r="B369" s="1485"/>
      <c r="C369" s="1486" t="s">
        <v>176</v>
      </c>
      <c r="D369" s="1486"/>
      <c r="E369" s="199" t="s">
        <v>177</v>
      </c>
      <c r="F369" s="1194" t="s">
        <v>945</v>
      </c>
      <c r="G369" s="1194"/>
      <c r="H369" s="1194" t="s">
        <v>950</v>
      </c>
      <c r="I369" s="1194"/>
      <c r="J369" s="1057"/>
      <c r="K369" s="1057"/>
      <c r="L369" s="185"/>
      <c r="M369" s="185"/>
      <c r="N369" s="1323"/>
      <c r="O369" s="1324"/>
      <c r="P369" s="1324"/>
      <c r="Q369" s="1325"/>
      <c r="R369" s="6"/>
      <c r="S369" s="6"/>
      <c r="T369" s="6"/>
    </row>
    <row r="370" spans="1:20" ht="25.5" customHeight="1" x14ac:dyDescent="0.25">
      <c r="A370" s="1440" t="s">
        <v>351</v>
      </c>
      <c r="B370" s="1441"/>
      <c r="C370" s="1441"/>
      <c r="D370" s="1441"/>
      <c r="E370" s="1441"/>
      <c r="F370" s="1441"/>
      <c r="G370" s="1441"/>
      <c r="H370" s="1441"/>
      <c r="I370" s="1441"/>
      <c r="J370" s="1441"/>
      <c r="K370" s="1441"/>
      <c r="L370" s="1441"/>
      <c r="M370" s="1442"/>
      <c r="N370" s="1323"/>
      <c r="O370" s="1324"/>
      <c r="P370" s="1324"/>
      <c r="Q370" s="1325"/>
      <c r="R370" s="6"/>
      <c r="S370" s="6"/>
      <c r="T370" s="6"/>
    </row>
    <row r="371" spans="1:20" ht="25.5" customHeight="1" x14ac:dyDescent="0.25">
      <c r="A371" s="1484" t="s">
        <v>183</v>
      </c>
      <c r="B371" s="1485"/>
      <c r="C371" s="1492">
        <f>(1*$D$3*(IF(H9&gt;300,"700000",IF(H9&gt;200,"500000","300000"))))+($D$3*($H$9/10)*35000)</f>
        <v>300000</v>
      </c>
      <c r="D371" s="1493"/>
      <c r="E371" s="435"/>
      <c r="F371" s="1483"/>
      <c r="G371" s="1483"/>
      <c r="H371" s="1483"/>
      <c r="I371" s="1483"/>
      <c r="J371" s="929" t="e">
        <f t="shared" ref="J371:J376" si="27">E371/F371</f>
        <v>#DIV/0!</v>
      </c>
      <c r="K371" s="930"/>
      <c r="L371" s="211"/>
      <c r="M371" s="104"/>
      <c r="N371" s="1323"/>
      <c r="O371" s="1324"/>
      <c r="P371" s="1324"/>
      <c r="Q371" s="1325"/>
      <c r="R371" s="6"/>
      <c r="S371" s="6"/>
      <c r="T371" s="6"/>
    </row>
    <row r="372" spans="1:20" ht="25.5" customHeight="1" x14ac:dyDescent="0.25">
      <c r="A372" s="1484" t="s">
        <v>184</v>
      </c>
      <c r="B372" s="1485"/>
      <c r="C372" s="1494"/>
      <c r="D372" s="1495"/>
      <c r="E372" s="435"/>
      <c r="F372" s="1483"/>
      <c r="G372" s="1483"/>
      <c r="H372" s="1483"/>
      <c r="I372" s="1483"/>
      <c r="J372" s="929" t="e">
        <f t="shared" si="27"/>
        <v>#DIV/0!</v>
      </c>
      <c r="K372" s="930"/>
      <c r="L372" s="211"/>
      <c r="M372" s="104"/>
      <c r="N372" s="1323"/>
      <c r="O372" s="1324"/>
      <c r="P372" s="1324"/>
      <c r="Q372" s="1325"/>
      <c r="R372" s="6"/>
      <c r="S372" s="6"/>
      <c r="T372" s="6"/>
    </row>
    <row r="373" spans="1:20" ht="25.5" customHeight="1" x14ac:dyDescent="0.25">
      <c r="A373" s="1484" t="s">
        <v>185</v>
      </c>
      <c r="B373" s="1485"/>
      <c r="C373" s="1494"/>
      <c r="D373" s="1495"/>
      <c r="E373" s="435"/>
      <c r="F373" s="1483"/>
      <c r="G373" s="1483"/>
      <c r="H373" s="1483"/>
      <c r="I373" s="1483"/>
      <c r="J373" s="929" t="e">
        <f t="shared" si="27"/>
        <v>#DIV/0!</v>
      </c>
      <c r="K373" s="930"/>
      <c r="L373" s="211"/>
      <c r="M373" s="104"/>
      <c r="N373" s="1323"/>
      <c r="O373" s="1324"/>
      <c r="P373" s="1324"/>
      <c r="Q373" s="1325"/>
      <c r="R373" s="6"/>
      <c r="S373" s="6"/>
      <c r="T373" s="6"/>
    </row>
    <row r="374" spans="1:20" ht="30" customHeight="1" x14ac:dyDescent="0.25">
      <c r="A374" s="1484" t="s">
        <v>522</v>
      </c>
      <c r="B374" s="1485"/>
      <c r="C374" s="1494"/>
      <c r="D374" s="1495"/>
      <c r="E374" s="435"/>
      <c r="F374" s="1483"/>
      <c r="G374" s="1483"/>
      <c r="H374" s="1483"/>
      <c r="I374" s="1483"/>
      <c r="J374" s="929" t="e">
        <f t="shared" si="27"/>
        <v>#DIV/0!</v>
      </c>
      <c r="K374" s="930"/>
      <c r="L374" s="211"/>
      <c r="M374" s="104"/>
      <c r="N374" s="1323"/>
      <c r="O374" s="1324"/>
      <c r="P374" s="1324"/>
      <c r="Q374" s="1325"/>
      <c r="R374" s="6"/>
      <c r="S374" s="6"/>
      <c r="T374" s="6"/>
    </row>
    <row r="375" spans="1:20" ht="25.5" customHeight="1" x14ac:dyDescent="0.25">
      <c r="A375" s="1484" t="s">
        <v>187</v>
      </c>
      <c r="B375" s="1485"/>
      <c r="C375" s="1494"/>
      <c r="D375" s="1495"/>
      <c r="E375" s="435"/>
      <c r="F375" s="1483"/>
      <c r="G375" s="1483"/>
      <c r="H375" s="1483"/>
      <c r="I375" s="1483"/>
      <c r="J375" s="929" t="e">
        <f t="shared" si="27"/>
        <v>#DIV/0!</v>
      </c>
      <c r="K375" s="930"/>
      <c r="L375" s="211"/>
      <c r="M375" s="104"/>
      <c r="N375" s="1323"/>
      <c r="O375" s="1324"/>
      <c r="P375" s="1324"/>
      <c r="Q375" s="1325"/>
      <c r="R375" s="6"/>
      <c r="S375" s="6"/>
      <c r="T375" s="6"/>
    </row>
    <row r="376" spans="1:20" ht="25.5" customHeight="1" x14ac:dyDescent="0.25">
      <c r="A376" s="1490" t="s">
        <v>182</v>
      </c>
      <c r="B376" s="1491"/>
      <c r="C376" s="1496"/>
      <c r="D376" s="1497"/>
      <c r="E376" s="435"/>
      <c r="F376" s="1483"/>
      <c r="G376" s="1483"/>
      <c r="H376" s="1483"/>
      <c r="I376" s="1483"/>
      <c r="J376" s="929" t="e">
        <f t="shared" si="27"/>
        <v>#DIV/0!</v>
      </c>
      <c r="K376" s="930"/>
      <c r="L376" s="211"/>
      <c r="M376" s="104"/>
      <c r="N376" s="1323"/>
      <c r="O376" s="1324"/>
      <c r="P376" s="1324"/>
      <c r="Q376" s="1325"/>
      <c r="R376" s="6"/>
      <c r="S376" s="6"/>
      <c r="T376" s="6"/>
    </row>
    <row r="377" spans="1:20" ht="25.5" customHeight="1" x14ac:dyDescent="0.25">
      <c r="A377" s="1440" t="s">
        <v>495</v>
      </c>
      <c r="B377" s="1441"/>
      <c r="C377" s="1441"/>
      <c r="D377" s="1441"/>
      <c r="E377" s="1441"/>
      <c r="F377" s="1441"/>
      <c r="G377" s="1441"/>
      <c r="H377" s="1441"/>
      <c r="I377" s="1441"/>
      <c r="J377" s="1441"/>
      <c r="K377" s="1441"/>
      <c r="L377" s="1441"/>
      <c r="M377" s="1442"/>
      <c r="N377" s="1323"/>
      <c r="O377" s="1324"/>
      <c r="P377" s="1324"/>
      <c r="Q377" s="1325"/>
      <c r="R377" s="6"/>
      <c r="S377" s="6"/>
      <c r="T377" s="6"/>
    </row>
    <row r="378" spans="1:20" ht="30" customHeight="1" x14ac:dyDescent="0.25">
      <c r="A378" s="1484" t="s">
        <v>183</v>
      </c>
      <c r="B378" s="1485"/>
      <c r="C378" s="1498"/>
      <c r="D378" s="1499"/>
      <c r="E378" s="435"/>
      <c r="F378" s="1483"/>
      <c r="G378" s="1483"/>
      <c r="H378" s="1483"/>
      <c r="I378" s="1483"/>
      <c r="J378" s="929" t="e">
        <f>E378/F378</f>
        <v>#DIV/0!</v>
      </c>
      <c r="K378" s="930"/>
      <c r="L378" s="211"/>
      <c r="M378" s="104"/>
      <c r="N378" s="1323"/>
      <c r="O378" s="1324"/>
      <c r="P378" s="1324"/>
      <c r="Q378" s="1325"/>
      <c r="R378" s="6"/>
      <c r="S378" s="6"/>
      <c r="T378" s="6"/>
    </row>
    <row r="379" spans="1:20" ht="30" customHeight="1" x14ac:dyDescent="0.25">
      <c r="A379" s="1484" t="s">
        <v>184</v>
      </c>
      <c r="B379" s="1485"/>
      <c r="C379" s="1500"/>
      <c r="D379" s="1501"/>
      <c r="E379" s="435"/>
      <c r="F379" s="1483"/>
      <c r="G379" s="1483"/>
      <c r="H379" s="1483"/>
      <c r="I379" s="1483"/>
      <c r="J379" s="929" t="e">
        <f t="shared" ref="J379:J384" si="28">E379/F379</f>
        <v>#DIV/0!</v>
      </c>
      <c r="K379" s="930"/>
      <c r="L379" s="211"/>
      <c r="M379" s="104"/>
      <c r="N379" s="1323"/>
      <c r="O379" s="1324"/>
      <c r="P379" s="1324"/>
      <c r="Q379" s="1325"/>
      <c r="R379" s="6"/>
      <c r="S379" s="6"/>
      <c r="T379" s="6"/>
    </row>
    <row r="380" spans="1:20" ht="30" customHeight="1" x14ac:dyDescent="0.25">
      <c r="A380" s="1484" t="s">
        <v>185</v>
      </c>
      <c r="B380" s="1485"/>
      <c r="C380" s="1500"/>
      <c r="D380" s="1501"/>
      <c r="E380" s="435"/>
      <c r="F380" s="1483"/>
      <c r="G380" s="1483"/>
      <c r="H380" s="1483"/>
      <c r="I380" s="1483"/>
      <c r="J380" s="929" t="e">
        <f t="shared" si="28"/>
        <v>#DIV/0!</v>
      </c>
      <c r="K380" s="930"/>
      <c r="L380" s="211"/>
      <c r="M380" s="104"/>
      <c r="N380" s="1323"/>
      <c r="O380" s="1324"/>
      <c r="P380" s="1324"/>
      <c r="Q380" s="1325"/>
      <c r="R380" s="6"/>
      <c r="S380" s="6"/>
      <c r="T380" s="6"/>
    </row>
    <row r="381" spans="1:20" ht="30" customHeight="1" x14ac:dyDescent="0.25">
      <c r="A381" s="1484" t="s">
        <v>186</v>
      </c>
      <c r="B381" s="1485"/>
      <c r="C381" s="1500"/>
      <c r="D381" s="1501"/>
      <c r="E381" s="435"/>
      <c r="F381" s="1483"/>
      <c r="G381" s="1483"/>
      <c r="H381" s="1483"/>
      <c r="I381" s="1483"/>
      <c r="J381" s="929" t="e">
        <f t="shared" si="28"/>
        <v>#DIV/0!</v>
      </c>
      <c r="K381" s="930"/>
      <c r="L381" s="211"/>
      <c r="M381" s="104"/>
      <c r="N381" s="1323"/>
      <c r="O381" s="1324"/>
      <c r="P381" s="1324"/>
      <c r="Q381" s="1325"/>
      <c r="R381" s="6"/>
      <c r="S381" s="6"/>
      <c r="T381" s="6"/>
    </row>
    <row r="382" spans="1:20" ht="30" customHeight="1" x14ac:dyDescent="0.25">
      <c r="A382" s="1484" t="s">
        <v>187</v>
      </c>
      <c r="B382" s="1485"/>
      <c r="C382" s="1500"/>
      <c r="D382" s="1501"/>
      <c r="E382" s="435"/>
      <c r="F382" s="1483"/>
      <c r="G382" s="1483"/>
      <c r="H382" s="1483"/>
      <c r="I382" s="1483"/>
      <c r="J382" s="929" t="e">
        <f t="shared" si="28"/>
        <v>#DIV/0!</v>
      </c>
      <c r="K382" s="930"/>
      <c r="L382" s="211"/>
      <c r="M382" s="104"/>
      <c r="N382" s="1323"/>
      <c r="O382" s="1324"/>
      <c r="P382" s="1324"/>
      <c r="Q382" s="1325"/>
      <c r="R382" s="6"/>
      <c r="S382" s="6"/>
      <c r="T382" s="6"/>
    </row>
    <row r="383" spans="1:20" ht="30" customHeight="1" thickBot="1" x14ac:dyDescent="0.3">
      <c r="A383" s="1490" t="s">
        <v>182</v>
      </c>
      <c r="B383" s="1491"/>
      <c r="C383" s="1500"/>
      <c r="D383" s="1501"/>
      <c r="E383" s="436"/>
      <c r="F383" s="1488"/>
      <c r="G383" s="1488"/>
      <c r="H383" s="1488"/>
      <c r="I383" s="1488"/>
      <c r="J383" s="1369" t="e">
        <f t="shared" si="28"/>
        <v>#DIV/0!</v>
      </c>
      <c r="K383" s="1370"/>
      <c r="L383" s="151"/>
      <c r="M383" s="94"/>
      <c r="N383" s="1323"/>
      <c r="O383" s="1324"/>
      <c r="P383" s="1324"/>
      <c r="Q383" s="1325"/>
      <c r="R383" s="6"/>
      <c r="S383" s="6"/>
      <c r="T383" s="6"/>
    </row>
    <row r="384" spans="1:20" ht="15.75" thickBot="1" x14ac:dyDescent="0.3">
      <c r="A384" s="1482" t="s">
        <v>143</v>
      </c>
      <c r="B384" s="933"/>
      <c r="C384" s="1507">
        <f>SUM(C378:D383,C371)</f>
        <v>300000</v>
      </c>
      <c r="D384" s="1507"/>
      <c r="E384" s="215">
        <f>SUM(E378:E383,E371:E376)</f>
        <v>0</v>
      </c>
      <c r="F384" s="1489">
        <f>SUM(F378:G383,F371:G376)</f>
        <v>0</v>
      </c>
      <c r="G384" s="1489"/>
      <c r="H384" s="1489">
        <f>SUM(H378:I383,H371:I376)</f>
        <v>0</v>
      </c>
      <c r="I384" s="1489"/>
      <c r="J384" s="1374" t="e">
        <f t="shared" si="28"/>
        <v>#DIV/0!</v>
      </c>
      <c r="K384" s="1375"/>
      <c r="L384" s="126"/>
      <c r="M384" s="127"/>
      <c r="N384" s="1473"/>
      <c r="O384" s="1473"/>
      <c r="P384" s="1473"/>
      <c r="Q384" s="1473"/>
      <c r="R384" s="6"/>
      <c r="S384" s="6"/>
      <c r="T384" s="6"/>
    </row>
    <row r="385" spans="1:20" x14ac:dyDescent="0.25">
      <c r="C385" s="150"/>
      <c r="D385" s="150"/>
      <c r="E385" s="150"/>
      <c r="F385" s="150"/>
      <c r="G385" s="150"/>
      <c r="H385" s="150"/>
      <c r="I385" s="150"/>
      <c r="R385" s="6"/>
      <c r="S385" s="6"/>
      <c r="T385" s="6"/>
    </row>
    <row r="386" spans="1:20" s="9" customFormat="1" ht="15.75" thickBot="1" x14ac:dyDescent="0.3">
      <c r="A386"/>
      <c r="B386"/>
      <c r="C386"/>
      <c r="D386"/>
      <c r="E386"/>
      <c r="F386"/>
      <c r="G386"/>
      <c r="H386"/>
      <c r="I386"/>
      <c r="J386"/>
      <c r="K386"/>
      <c r="L386"/>
      <c r="M386"/>
      <c r="N386" s="101"/>
      <c r="O386" s="101"/>
      <c r="P386" s="101"/>
      <c r="Q386" s="101"/>
    </row>
    <row r="387" spans="1:20" ht="27.75" customHeight="1" x14ac:dyDescent="0.25">
      <c r="A387" s="1508" t="s">
        <v>717</v>
      </c>
      <c r="B387" s="1509"/>
      <c r="C387" s="1509"/>
      <c r="D387" s="1509"/>
      <c r="E387" s="1509"/>
      <c r="F387" s="1509"/>
      <c r="G387" s="1509"/>
      <c r="H387" s="1509"/>
      <c r="I387" s="1509"/>
      <c r="J387" s="1509"/>
      <c r="K387" s="1509"/>
      <c r="L387" s="1509"/>
      <c r="M387" s="1509"/>
      <c r="N387" s="1509"/>
      <c r="O387" s="1509"/>
      <c r="P387" s="1509"/>
      <c r="Q387" s="1510"/>
      <c r="R387" s="6"/>
      <c r="S387" s="6"/>
      <c r="T387" s="6"/>
    </row>
    <row r="388" spans="1:20" ht="18" x14ac:dyDescent="0.25">
      <c r="A388" s="356"/>
      <c r="B388" s="152"/>
      <c r="C388" s="152"/>
      <c r="D388" s="152"/>
      <c r="E388" s="152"/>
      <c r="F388" s="152"/>
      <c r="G388" s="152"/>
      <c r="H388" s="152"/>
      <c r="I388" s="152"/>
      <c r="J388" s="152"/>
      <c r="K388" s="1517" t="s">
        <v>38</v>
      </c>
      <c r="L388" s="1517"/>
      <c r="M388" s="1517"/>
      <c r="N388" s="1517"/>
      <c r="O388" s="1518" t="s">
        <v>188</v>
      </c>
      <c r="P388" s="1518"/>
      <c r="Q388" s="1519"/>
      <c r="R388" s="6"/>
      <c r="S388" s="6"/>
      <c r="T388" s="6"/>
    </row>
    <row r="389" spans="1:20" ht="37.5" customHeight="1" x14ac:dyDescent="0.25">
      <c r="A389" s="1502" t="s">
        <v>0</v>
      </c>
      <c r="B389" s="1503" t="s">
        <v>1</v>
      </c>
      <c r="C389" s="1503"/>
      <c r="D389" s="1504" t="s">
        <v>258</v>
      </c>
      <c r="E389" s="1504"/>
      <c r="F389" s="1504" t="s">
        <v>786</v>
      </c>
      <c r="G389" s="1504"/>
      <c r="H389" s="1504"/>
      <c r="I389" s="1503" t="s">
        <v>952</v>
      </c>
      <c r="J389" s="1505"/>
      <c r="K389" s="1506" t="s">
        <v>190</v>
      </c>
      <c r="L389" s="1506"/>
      <c r="M389" s="1503" t="s">
        <v>953</v>
      </c>
      <c r="N389" s="1503"/>
      <c r="O389" s="1518"/>
      <c r="P389" s="1518"/>
      <c r="Q389" s="1519"/>
      <c r="R389" s="6"/>
      <c r="S389" s="6"/>
      <c r="T389" s="6"/>
    </row>
    <row r="390" spans="1:20" ht="73.5" customHeight="1" x14ac:dyDescent="0.25">
      <c r="A390" s="1502"/>
      <c r="B390" s="1503"/>
      <c r="C390" s="1503"/>
      <c r="D390" s="216" t="s">
        <v>41</v>
      </c>
      <c r="E390" s="216" t="s">
        <v>191</v>
      </c>
      <c r="F390" s="216" t="s">
        <v>41</v>
      </c>
      <c r="G390" s="180" t="s">
        <v>526</v>
      </c>
      <c r="H390" s="216" t="s">
        <v>951</v>
      </c>
      <c r="I390" s="1503"/>
      <c r="J390" s="1505"/>
      <c r="K390" s="182" t="s">
        <v>258</v>
      </c>
      <c r="L390" s="182" t="s">
        <v>786</v>
      </c>
      <c r="M390" s="1503"/>
      <c r="N390" s="1503"/>
      <c r="O390" s="1518"/>
      <c r="P390" s="1518"/>
      <c r="Q390" s="1519"/>
      <c r="R390" s="6"/>
      <c r="S390" s="6"/>
      <c r="T390" s="6"/>
    </row>
    <row r="391" spans="1:20" ht="15.75" x14ac:dyDescent="0.25">
      <c r="A391" s="357">
        <v>1</v>
      </c>
      <c r="B391" s="1511" t="s">
        <v>3</v>
      </c>
      <c r="C391" s="1511"/>
      <c r="D391" s="437"/>
      <c r="E391" s="437"/>
      <c r="F391" s="437"/>
      <c r="G391" s="437"/>
      <c r="H391" s="437"/>
      <c r="I391" s="1513">
        <f>H64</f>
        <v>0</v>
      </c>
      <c r="J391" s="1513"/>
      <c r="K391" s="154" t="e">
        <f>E391/D391</f>
        <v>#DIV/0!</v>
      </c>
      <c r="L391" s="154" t="e">
        <f>H391/G391</f>
        <v>#DIV/0!</v>
      </c>
      <c r="M391" s="1514"/>
      <c r="N391" s="1514"/>
      <c r="O391" s="1515"/>
      <c r="P391" s="1515"/>
      <c r="Q391" s="1516"/>
      <c r="R391" s="6"/>
      <c r="S391" s="6"/>
      <c r="T391" s="6"/>
    </row>
    <row r="392" spans="1:20" ht="15.75" x14ac:dyDescent="0.25">
      <c r="A392" s="357">
        <v>2</v>
      </c>
      <c r="B392" s="1511" t="s">
        <v>4</v>
      </c>
      <c r="C392" s="1511"/>
      <c r="D392" s="437"/>
      <c r="E392" s="437"/>
      <c r="F392" s="437"/>
      <c r="G392" s="437"/>
      <c r="H392" s="437"/>
      <c r="I392" s="1512">
        <f>H74</f>
        <v>0</v>
      </c>
      <c r="J392" s="1513"/>
      <c r="K392" s="154" t="e">
        <f t="shared" ref="K392:K411" si="29">E392/D392</f>
        <v>#DIV/0!</v>
      </c>
      <c r="L392" s="154" t="e">
        <f t="shared" ref="L392:L411" si="30">H392/G392</f>
        <v>#DIV/0!</v>
      </c>
      <c r="M392" s="1514"/>
      <c r="N392" s="1514"/>
      <c r="O392" s="1515"/>
      <c r="P392" s="1515"/>
      <c r="Q392" s="1516"/>
      <c r="R392" s="6"/>
      <c r="S392" s="6"/>
      <c r="T392" s="6"/>
    </row>
    <row r="393" spans="1:20" ht="15.75" x14ac:dyDescent="0.25">
      <c r="A393" s="357">
        <v>3</v>
      </c>
      <c r="B393" s="1511" t="s">
        <v>5</v>
      </c>
      <c r="C393" s="1511"/>
      <c r="D393" s="437"/>
      <c r="E393" s="437"/>
      <c r="F393" s="437"/>
      <c r="G393" s="437"/>
      <c r="H393" s="437"/>
      <c r="I393" s="1512">
        <f>H86</f>
        <v>0</v>
      </c>
      <c r="J393" s="1513"/>
      <c r="K393" s="154" t="e">
        <f t="shared" si="29"/>
        <v>#DIV/0!</v>
      </c>
      <c r="L393" s="154" t="e">
        <f t="shared" si="30"/>
        <v>#DIV/0!</v>
      </c>
      <c r="M393" s="1514"/>
      <c r="N393" s="1514"/>
      <c r="O393" s="1515"/>
      <c r="P393" s="1515"/>
      <c r="Q393" s="1516"/>
      <c r="R393" s="6"/>
      <c r="S393" s="6"/>
      <c r="T393" s="6"/>
    </row>
    <row r="394" spans="1:20" ht="15.75" x14ac:dyDescent="0.25">
      <c r="A394" s="357">
        <v>4</v>
      </c>
      <c r="B394" s="1511" t="s">
        <v>6</v>
      </c>
      <c r="C394" s="1511"/>
      <c r="D394" s="437"/>
      <c r="E394" s="437"/>
      <c r="F394" s="437"/>
      <c r="G394" s="437"/>
      <c r="H394" s="437"/>
      <c r="I394" s="1512">
        <f>H103</f>
        <v>0</v>
      </c>
      <c r="J394" s="1513"/>
      <c r="K394" s="154" t="e">
        <f t="shared" si="29"/>
        <v>#DIV/0!</v>
      </c>
      <c r="L394" s="154" t="e">
        <f t="shared" si="30"/>
        <v>#DIV/0!</v>
      </c>
      <c r="M394" s="1514"/>
      <c r="N394" s="1514"/>
      <c r="O394" s="1515"/>
      <c r="P394" s="1515"/>
      <c r="Q394" s="1516"/>
      <c r="R394" s="6"/>
      <c r="S394" s="6"/>
      <c r="T394" s="6"/>
    </row>
    <row r="395" spans="1:20" ht="15.75" x14ac:dyDescent="0.25">
      <c r="A395" s="357">
        <v>5</v>
      </c>
      <c r="B395" s="1511" t="s">
        <v>7</v>
      </c>
      <c r="C395" s="1511"/>
      <c r="D395" s="437"/>
      <c r="E395" s="437"/>
      <c r="F395" s="437"/>
      <c r="G395" s="437"/>
      <c r="H395" s="437"/>
      <c r="I395" s="1512">
        <f>I138</f>
        <v>0</v>
      </c>
      <c r="J395" s="1513"/>
      <c r="K395" s="154" t="e">
        <f t="shared" si="29"/>
        <v>#DIV/0!</v>
      </c>
      <c r="L395" s="154" t="e">
        <f t="shared" si="30"/>
        <v>#DIV/0!</v>
      </c>
      <c r="M395" s="1514"/>
      <c r="N395" s="1514"/>
      <c r="O395" s="1515"/>
      <c r="P395" s="1515"/>
      <c r="Q395" s="1516"/>
      <c r="R395" s="6"/>
      <c r="S395" s="6"/>
      <c r="T395" s="6"/>
    </row>
    <row r="396" spans="1:20" ht="15.75" x14ac:dyDescent="0.25">
      <c r="A396" s="357">
        <v>6</v>
      </c>
      <c r="B396" s="1511" t="s">
        <v>8</v>
      </c>
      <c r="C396" s="1511"/>
      <c r="D396" s="437"/>
      <c r="E396" s="437"/>
      <c r="F396" s="437"/>
      <c r="G396" s="437"/>
      <c r="H396" s="437"/>
      <c r="I396" s="1512">
        <f>J145</f>
        <v>0</v>
      </c>
      <c r="J396" s="1513"/>
      <c r="K396" s="154" t="e">
        <f t="shared" si="29"/>
        <v>#DIV/0!</v>
      </c>
      <c r="L396" s="154" t="e">
        <f t="shared" si="30"/>
        <v>#DIV/0!</v>
      </c>
      <c r="M396" s="1514"/>
      <c r="N396" s="1514"/>
      <c r="O396" s="1515"/>
      <c r="P396" s="1515"/>
      <c r="Q396" s="1516"/>
      <c r="R396" s="6"/>
      <c r="S396" s="6"/>
      <c r="T396" s="6"/>
    </row>
    <row r="397" spans="1:20" ht="15.75" x14ac:dyDescent="0.25">
      <c r="A397" s="357">
        <v>7</v>
      </c>
      <c r="B397" s="1511" t="s">
        <v>9</v>
      </c>
      <c r="C397" s="1511"/>
      <c r="D397" s="437"/>
      <c r="E397" s="437"/>
      <c r="F397" s="437"/>
      <c r="G397" s="437"/>
      <c r="H397" s="437"/>
      <c r="I397" s="1512">
        <f>I160</f>
        <v>0</v>
      </c>
      <c r="J397" s="1513"/>
      <c r="K397" s="154" t="e">
        <f t="shared" si="29"/>
        <v>#DIV/0!</v>
      </c>
      <c r="L397" s="154" t="e">
        <f t="shared" si="30"/>
        <v>#DIV/0!</v>
      </c>
      <c r="M397" s="1514"/>
      <c r="N397" s="1514"/>
      <c r="O397" s="1515"/>
      <c r="P397" s="1515"/>
      <c r="Q397" s="1516"/>
      <c r="R397" s="6"/>
      <c r="S397" s="6"/>
      <c r="T397" s="6"/>
    </row>
    <row r="398" spans="1:20" ht="15.75" x14ac:dyDescent="0.25">
      <c r="A398" s="357">
        <v>8</v>
      </c>
      <c r="B398" s="1511" t="s">
        <v>10</v>
      </c>
      <c r="C398" s="1511"/>
      <c r="D398" s="437"/>
      <c r="E398" s="437"/>
      <c r="F398" s="437"/>
      <c r="G398" s="437"/>
      <c r="H398" s="437"/>
      <c r="I398" s="1512">
        <f>H171</f>
        <v>0</v>
      </c>
      <c r="J398" s="1513"/>
      <c r="K398" s="154" t="e">
        <f t="shared" si="29"/>
        <v>#DIV/0!</v>
      </c>
      <c r="L398" s="154" t="e">
        <f t="shared" si="30"/>
        <v>#DIV/0!</v>
      </c>
      <c r="M398" s="1514"/>
      <c r="N398" s="1514"/>
      <c r="O398" s="1515"/>
      <c r="P398" s="1515"/>
      <c r="Q398" s="1516"/>
      <c r="R398" s="6"/>
      <c r="S398" s="6"/>
      <c r="T398" s="6"/>
    </row>
    <row r="399" spans="1:20" ht="15.75" x14ac:dyDescent="0.25">
      <c r="A399" s="357">
        <v>9</v>
      </c>
      <c r="B399" s="1511" t="s">
        <v>11</v>
      </c>
      <c r="C399" s="1511"/>
      <c r="D399" s="437"/>
      <c r="E399" s="437"/>
      <c r="F399" s="437"/>
      <c r="G399" s="437"/>
      <c r="H399" s="437"/>
      <c r="I399" s="1512">
        <f>H181</f>
        <v>0</v>
      </c>
      <c r="J399" s="1513"/>
      <c r="K399" s="154" t="e">
        <f t="shared" si="29"/>
        <v>#DIV/0!</v>
      </c>
      <c r="L399" s="154" t="e">
        <f t="shared" si="30"/>
        <v>#DIV/0!</v>
      </c>
      <c r="M399" s="1514"/>
      <c r="N399" s="1514"/>
      <c r="O399" s="1515"/>
      <c r="P399" s="1515"/>
      <c r="Q399" s="1516"/>
      <c r="R399" s="6"/>
      <c r="S399" s="6"/>
      <c r="T399" s="6"/>
    </row>
    <row r="400" spans="1:20" ht="15.75" x14ac:dyDescent="0.25">
      <c r="A400" s="357">
        <v>10</v>
      </c>
      <c r="B400" s="1511" t="s">
        <v>12</v>
      </c>
      <c r="C400" s="1511"/>
      <c r="D400" s="437"/>
      <c r="E400" s="437"/>
      <c r="F400" s="437"/>
      <c r="G400" s="437"/>
      <c r="H400" s="437"/>
      <c r="I400" s="1512">
        <f>H237</f>
        <v>0</v>
      </c>
      <c r="J400" s="1513"/>
      <c r="K400" s="154" t="e">
        <f t="shared" si="29"/>
        <v>#DIV/0!</v>
      </c>
      <c r="L400" s="154" t="e">
        <f t="shared" si="30"/>
        <v>#DIV/0!</v>
      </c>
      <c r="M400" s="1514"/>
      <c r="N400" s="1514"/>
      <c r="O400" s="1515"/>
      <c r="P400" s="1515"/>
      <c r="Q400" s="1516"/>
      <c r="R400" s="6"/>
      <c r="S400" s="6"/>
      <c r="T400" s="6"/>
    </row>
    <row r="401" spans="1:20" ht="15.75" x14ac:dyDescent="0.25">
      <c r="A401" s="357">
        <v>11</v>
      </c>
      <c r="B401" s="1511" t="s">
        <v>13</v>
      </c>
      <c r="C401" s="1511"/>
      <c r="D401" s="437"/>
      <c r="E401" s="437"/>
      <c r="F401" s="437"/>
      <c r="G401" s="437"/>
      <c r="H401" s="437"/>
      <c r="I401" s="1512">
        <f>G257</f>
        <v>0</v>
      </c>
      <c r="J401" s="1513"/>
      <c r="K401" s="154" t="e">
        <f t="shared" si="29"/>
        <v>#DIV/0!</v>
      </c>
      <c r="L401" s="154" t="e">
        <f t="shared" si="30"/>
        <v>#DIV/0!</v>
      </c>
      <c r="M401" s="1514"/>
      <c r="N401" s="1514"/>
      <c r="O401" s="1515"/>
      <c r="P401" s="1515"/>
      <c r="Q401" s="1516"/>
      <c r="R401" s="6"/>
      <c r="S401" s="6"/>
      <c r="T401" s="6"/>
    </row>
    <row r="402" spans="1:20" ht="15.75" x14ac:dyDescent="0.25">
      <c r="A402" s="357">
        <v>12</v>
      </c>
      <c r="B402" s="1511" t="s">
        <v>14</v>
      </c>
      <c r="C402" s="1511"/>
      <c r="D402" s="437"/>
      <c r="E402" s="437"/>
      <c r="F402" s="437"/>
      <c r="G402" s="437"/>
      <c r="H402" s="437"/>
      <c r="I402" s="1512">
        <f>I264</f>
        <v>0</v>
      </c>
      <c r="J402" s="1513"/>
      <c r="K402" s="154" t="e">
        <f t="shared" si="29"/>
        <v>#DIV/0!</v>
      </c>
      <c r="L402" s="154" t="e">
        <f t="shared" si="30"/>
        <v>#DIV/0!</v>
      </c>
      <c r="M402" s="1514"/>
      <c r="N402" s="1514"/>
      <c r="O402" s="1515"/>
      <c r="P402" s="1515"/>
      <c r="Q402" s="1516"/>
      <c r="R402" s="6"/>
      <c r="S402" s="6"/>
      <c r="T402" s="6"/>
    </row>
    <row r="403" spans="1:20" ht="15.75" x14ac:dyDescent="0.25">
      <c r="A403" s="357">
        <v>13</v>
      </c>
      <c r="B403" s="1511" t="s">
        <v>15</v>
      </c>
      <c r="C403" s="1511"/>
      <c r="D403" s="437"/>
      <c r="E403" s="437"/>
      <c r="F403" s="437"/>
      <c r="G403" s="437"/>
      <c r="H403" s="437"/>
      <c r="I403" s="1512">
        <f>H271</f>
        <v>0</v>
      </c>
      <c r="J403" s="1513"/>
      <c r="K403" s="154" t="e">
        <f t="shared" si="29"/>
        <v>#DIV/0!</v>
      </c>
      <c r="L403" s="154" t="e">
        <f t="shared" si="30"/>
        <v>#DIV/0!</v>
      </c>
      <c r="M403" s="1514"/>
      <c r="N403" s="1514"/>
      <c r="O403" s="1515"/>
      <c r="P403" s="1515"/>
      <c r="Q403" s="1516"/>
      <c r="R403" s="6"/>
      <c r="S403" s="6"/>
      <c r="T403" s="6"/>
    </row>
    <row r="404" spans="1:20" ht="15.75" x14ac:dyDescent="0.25">
      <c r="A404" s="357">
        <v>14</v>
      </c>
      <c r="B404" s="1511" t="s">
        <v>16</v>
      </c>
      <c r="C404" s="1511"/>
      <c r="D404" s="437"/>
      <c r="E404" s="437"/>
      <c r="F404" s="437"/>
      <c r="G404" s="437"/>
      <c r="H404" s="437"/>
      <c r="I404" s="1512">
        <f>H282</f>
        <v>0</v>
      </c>
      <c r="J404" s="1513"/>
      <c r="K404" s="154" t="e">
        <f t="shared" si="29"/>
        <v>#DIV/0!</v>
      </c>
      <c r="L404" s="154" t="e">
        <f t="shared" si="30"/>
        <v>#DIV/0!</v>
      </c>
      <c r="M404" s="1514"/>
      <c r="N404" s="1514"/>
      <c r="O404" s="1515"/>
      <c r="P404" s="1515"/>
      <c r="Q404" s="1516"/>
      <c r="R404" s="6"/>
      <c r="S404" s="6"/>
      <c r="T404" s="6"/>
    </row>
    <row r="405" spans="1:20" ht="15.75" x14ac:dyDescent="0.25">
      <c r="A405" s="357">
        <v>15</v>
      </c>
      <c r="B405" s="1511" t="s">
        <v>17</v>
      </c>
      <c r="C405" s="1511"/>
      <c r="D405" s="437"/>
      <c r="E405" s="437"/>
      <c r="F405" s="437"/>
      <c r="G405" s="437"/>
      <c r="H405" s="437"/>
      <c r="I405" s="1512">
        <f>H307</f>
        <v>0</v>
      </c>
      <c r="J405" s="1513"/>
      <c r="K405" s="154" t="e">
        <f t="shared" si="29"/>
        <v>#DIV/0!</v>
      </c>
      <c r="L405" s="154" t="e">
        <f t="shared" si="30"/>
        <v>#DIV/0!</v>
      </c>
      <c r="M405" s="1514"/>
      <c r="N405" s="1514"/>
      <c r="O405" s="1515"/>
      <c r="P405" s="1515"/>
      <c r="Q405" s="1516"/>
      <c r="R405" s="6"/>
      <c r="S405" s="6"/>
      <c r="T405" s="6"/>
    </row>
    <row r="406" spans="1:20" ht="15.75" x14ac:dyDescent="0.25">
      <c r="A406" s="357">
        <v>16</v>
      </c>
      <c r="B406" s="1511" t="s">
        <v>18</v>
      </c>
      <c r="C406" s="1511"/>
      <c r="D406" s="437"/>
      <c r="E406" s="437"/>
      <c r="F406" s="437"/>
      <c r="G406" s="437"/>
      <c r="H406" s="437"/>
      <c r="I406" s="1512">
        <f>H355</f>
        <v>0</v>
      </c>
      <c r="J406" s="1513"/>
      <c r="K406" s="154" t="e">
        <f t="shared" si="29"/>
        <v>#DIV/0!</v>
      </c>
      <c r="L406" s="154" t="e">
        <f t="shared" si="30"/>
        <v>#DIV/0!</v>
      </c>
      <c r="M406" s="1514"/>
      <c r="N406" s="1514"/>
      <c r="O406" s="1515"/>
      <c r="P406" s="1515"/>
      <c r="Q406" s="1516"/>
      <c r="R406" s="6"/>
      <c r="S406" s="6"/>
      <c r="T406" s="6"/>
    </row>
    <row r="407" spans="1:20" ht="15.75" x14ac:dyDescent="0.25">
      <c r="A407" s="357">
        <v>17</v>
      </c>
      <c r="B407" s="1511" t="s">
        <v>19</v>
      </c>
      <c r="C407" s="1511"/>
      <c r="D407" s="437"/>
      <c r="E407" s="437"/>
      <c r="F407" s="437"/>
      <c r="G407" s="437"/>
      <c r="H407" s="437"/>
      <c r="I407" s="1512">
        <f>H365</f>
        <v>0</v>
      </c>
      <c r="J407" s="1513"/>
      <c r="K407" s="154" t="e">
        <f t="shared" si="29"/>
        <v>#DIV/0!</v>
      </c>
      <c r="L407" s="154" t="e">
        <f t="shared" si="30"/>
        <v>#DIV/0!</v>
      </c>
      <c r="M407" s="1514"/>
      <c r="N407" s="1514"/>
      <c r="O407" s="1515"/>
      <c r="P407" s="1515"/>
      <c r="Q407" s="1516"/>
      <c r="R407" s="6"/>
      <c r="S407" s="6"/>
      <c r="T407" s="6"/>
    </row>
    <row r="408" spans="1:20" ht="16.5" thickBot="1" x14ac:dyDescent="0.3">
      <c r="A408" s="358">
        <v>18</v>
      </c>
      <c r="B408" s="1531" t="s">
        <v>20</v>
      </c>
      <c r="C408" s="1531"/>
      <c r="D408" s="438"/>
      <c r="E408" s="438"/>
      <c r="F408" s="438"/>
      <c r="G408" s="438"/>
      <c r="H408" s="438"/>
      <c r="I408" s="1532">
        <f>H384</f>
        <v>0</v>
      </c>
      <c r="J408" s="1533"/>
      <c r="K408" s="156" t="e">
        <f t="shared" si="29"/>
        <v>#DIV/0!</v>
      </c>
      <c r="L408" s="156" t="e">
        <f t="shared" si="30"/>
        <v>#DIV/0!</v>
      </c>
      <c r="M408" s="1534"/>
      <c r="N408" s="1534"/>
      <c r="O408" s="1535"/>
      <c r="P408" s="1535"/>
      <c r="Q408" s="1536"/>
      <c r="R408" s="6"/>
      <c r="S408" s="6"/>
      <c r="T408" s="6"/>
    </row>
    <row r="409" spans="1:20" ht="16.5" thickBot="1" x14ac:dyDescent="0.3">
      <c r="A409" s="359"/>
      <c r="B409" s="1520" t="s">
        <v>2</v>
      </c>
      <c r="C409" s="1520"/>
      <c r="D409" s="360">
        <f>SUM(D391:D408)</f>
        <v>0</v>
      </c>
      <c r="E409" s="360">
        <f>SUM(E391:E408)</f>
        <v>0</v>
      </c>
      <c r="F409" s="360">
        <f>SUM(F391:F408)</f>
        <v>0</v>
      </c>
      <c r="G409" s="360">
        <f>SUM(G391:G408)</f>
        <v>0</v>
      </c>
      <c r="H409" s="360">
        <f>SUM(H391:H408)</f>
        <v>0</v>
      </c>
      <c r="I409" s="1521">
        <f>SUM(I391:J408)</f>
        <v>0</v>
      </c>
      <c r="J409" s="1521"/>
      <c r="K409" s="157" t="e">
        <f t="shared" si="29"/>
        <v>#DIV/0!</v>
      </c>
      <c r="L409" s="157" t="e">
        <f t="shared" si="30"/>
        <v>#DIV/0!</v>
      </c>
      <c r="M409" s="1522">
        <f>SUM(M391:N408)</f>
        <v>0</v>
      </c>
      <c r="N409" s="1522"/>
      <c r="O409" s="1523"/>
      <c r="P409" s="1523"/>
      <c r="Q409" s="1524"/>
      <c r="R409" s="6"/>
      <c r="S409" s="6"/>
      <c r="T409" s="6"/>
    </row>
    <row r="410" spans="1:20" ht="16.5" thickBot="1" x14ac:dyDescent="0.3">
      <c r="A410" s="361">
        <v>19</v>
      </c>
      <c r="B410" s="1525" t="s">
        <v>21</v>
      </c>
      <c r="C410" s="1525"/>
      <c r="D410" s="439"/>
      <c r="E410" s="439"/>
      <c r="F410" s="439"/>
      <c r="G410" s="439"/>
      <c r="H410" s="439"/>
      <c r="I410" s="1526">
        <f>F451</f>
        <v>0</v>
      </c>
      <c r="J410" s="1527"/>
      <c r="K410" s="158" t="e">
        <f t="shared" si="29"/>
        <v>#DIV/0!</v>
      </c>
      <c r="L410" s="158" t="e">
        <f t="shared" si="30"/>
        <v>#DIV/0!</v>
      </c>
      <c r="M410" s="1528" t="e">
        <f>#REF!</f>
        <v>#REF!</v>
      </c>
      <c r="N410" s="1528"/>
      <c r="O410" s="1529"/>
      <c r="P410" s="1529"/>
      <c r="Q410" s="1530"/>
      <c r="R410" s="6"/>
      <c r="S410" s="6"/>
      <c r="T410" s="6"/>
    </row>
    <row r="411" spans="1:20" ht="16.5" thickBot="1" x14ac:dyDescent="0.3">
      <c r="A411" s="359"/>
      <c r="B411" s="1520" t="s">
        <v>22</v>
      </c>
      <c r="C411" s="1520"/>
      <c r="D411" s="360">
        <f t="shared" ref="D411:I411" si="31">D409+D410</f>
        <v>0</v>
      </c>
      <c r="E411" s="360">
        <f t="shared" si="31"/>
        <v>0</v>
      </c>
      <c r="F411" s="360">
        <f t="shared" si="31"/>
        <v>0</v>
      </c>
      <c r="G411" s="360">
        <f t="shared" si="31"/>
        <v>0</v>
      </c>
      <c r="H411" s="360">
        <f t="shared" si="31"/>
        <v>0</v>
      </c>
      <c r="I411" s="1542">
        <f t="shared" si="31"/>
        <v>0</v>
      </c>
      <c r="J411" s="1521"/>
      <c r="K411" s="157" t="e">
        <f t="shared" si="29"/>
        <v>#DIV/0!</v>
      </c>
      <c r="L411" s="157" t="e">
        <f t="shared" si="30"/>
        <v>#DIV/0!</v>
      </c>
      <c r="M411" s="1522" t="e">
        <f>M409+M410</f>
        <v>#REF!</v>
      </c>
      <c r="N411" s="1522"/>
      <c r="O411" s="1523"/>
      <c r="P411" s="1523"/>
      <c r="Q411" s="1524"/>
      <c r="R411" s="6"/>
      <c r="S411" s="6"/>
      <c r="T411" s="6"/>
    </row>
    <row r="412" spans="1:20" ht="15.75" x14ac:dyDescent="0.25">
      <c r="A412" s="467"/>
      <c r="B412" s="468"/>
      <c r="C412" s="468"/>
      <c r="D412" s="469"/>
      <c r="E412" s="469"/>
      <c r="F412" s="469"/>
      <c r="G412" s="469"/>
      <c r="H412" s="469"/>
      <c r="I412" s="470"/>
      <c r="J412" s="471"/>
      <c r="K412" s="472"/>
      <c r="L412" s="472"/>
      <c r="M412" s="473"/>
      <c r="N412" s="473"/>
      <c r="O412" s="474"/>
      <c r="P412" s="474"/>
      <c r="Q412" s="474"/>
      <c r="R412" s="6"/>
      <c r="S412" s="6"/>
      <c r="T412" s="6"/>
    </row>
    <row r="413" spans="1:20" ht="18.75" x14ac:dyDescent="0.3">
      <c r="A413" s="480" t="s">
        <v>712</v>
      </c>
      <c r="B413" s="468"/>
      <c r="C413" s="468"/>
      <c r="D413" s="469"/>
      <c r="E413" s="469"/>
      <c r="F413" s="469"/>
      <c r="G413" s="469"/>
      <c r="H413" s="469"/>
      <c r="I413" s="470"/>
      <c r="J413" s="471"/>
      <c r="K413" s="472"/>
      <c r="L413" s="472"/>
      <c r="M413" s="473"/>
      <c r="N413" s="473"/>
      <c r="O413" s="474"/>
      <c r="P413" s="474"/>
      <c r="Q413" s="474"/>
      <c r="R413" s="6"/>
      <c r="S413" s="6"/>
      <c r="T413" s="6"/>
    </row>
    <row r="414" spans="1:20" ht="15.75" x14ac:dyDescent="0.25">
      <c r="A414" s="475"/>
      <c r="B414" s="219"/>
      <c r="C414" s="1503" t="s">
        <v>189</v>
      </c>
      <c r="D414" s="1503"/>
      <c r="E414" s="1503" t="s">
        <v>258</v>
      </c>
      <c r="F414" s="1503"/>
      <c r="G414" s="1537" t="s">
        <v>786</v>
      </c>
      <c r="H414" s="1537"/>
      <c r="I414" s="470"/>
      <c r="J414" s="471"/>
      <c r="K414" s="472"/>
      <c r="L414" s="472"/>
      <c r="M414" s="473"/>
      <c r="N414" s="473"/>
      <c r="O414" s="474"/>
      <c r="P414" s="474"/>
      <c r="Q414" s="474"/>
      <c r="R414" s="6"/>
      <c r="S414" s="6"/>
      <c r="T414" s="6"/>
    </row>
    <row r="415" spans="1:20" ht="47.25" x14ac:dyDescent="0.25">
      <c r="A415" s="475"/>
      <c r="B415" s="219"/>
      <c r="C415" s="221" t="s">
        <v>715</v>
      </c>
      <c r="D415" s="476" t="s">
        <v>716</v>
      </c>
      <c r="E415" s="221" t="s">
        <v>715</v>
      </c>
      <c r="F415" s="476" t="s">
        <v>716</v>
      </c>
      <c r="G415" s="221" t="s">
        <v>715</v>
      </c>
      <c r="H415" s="476" t="s">
        <v>954</v>
      </c>
      <c r="I415" s="470"/>
      <c r="J415" s="471"/>
      <c r="K415" s="472"/>
      <c r="L415" s="472"/>
      <c r="M415" s="473"/>
      <c r="N415" s="473"/>
      <c r="O415" s="474"/>
      <c r="P415" s="474"/>
      <c r="Q415" s="474"/>
      <c r="R415" s="6"/>
      <c r="S415" s="6"/>
      <c r="T415" s="6"/>
    </row>
    <row r="416" spans="1:20" ht="15.75" x14ac:dyDescent="0.25">
      <c r="A416" s="475"/>
      <c r="B416" s="219" t="s">
        <v>713</v>
      </c>
      <c r="C416" s="477"/>
      <c r="D416" s="478"/>
      <c r="E416" s="478"/>
      <c r="F416" s="478"/>
      <c r="G416" s="478"/>
      <c r="H416" s="478"/>
      <c r="I416" s="470"/>
      <c r="J416" s="471"/>
      <c r="K416" s="472"/>
      <c r="L416" s="472"/>
      <c r="M416" s="473"/>
      <c r="N416" s="473"/>
      <c r="O416" s="474"/>
      <c r="P416" s="474"/>
      <c r="Q416" s="474"/>
      <c r="R416" s="6"/>
      <c r="S416" s="6"/>
      <c r="T416" s="6"/>
    </row>
    <row r="417" spans="1:20" ht="15.75" x14ac:dyDescent="0.25">
      <c r="B417" s="219" t="s">
        <v>714</v>
      </c>
      <c r="C417" s="479"/>
      <c r="D417" s="479"/>
      <c r="E417" s="479"/>
      <c r="F417" s="479"/>
      <c r="G417" s="479"/>
      <c r="H417" s="479"/>
      <c r="R417" s="6"/>
      <c r="S417" s="6"/>
      <c r="T417" s="6"/>
    </row>
    <row r="418" spans="1:20" ht="15.75" x14ac:dyDescent="0.25">
      <c r="B418" s="219" t="s">
        <v>143</v>
      </c>
      <c r="C418" s="220">
        <f t="shared" ref="C418:H418" si="32">SUM(C416:C417)</f>
        <v>0</v>
      </c>
      <c r="D418" s="220">
        <f t="shared" si="32"/>
        <v>0</v>
      </c>
      <c r="E418" s="220">
        <f t="shared" si="32"/>
        <v>0</v>
      </c>
      <c r="F418" s="220">
        <f t="shared" si="32"/>
        <v>0</v>
      </c>
      <c r="G418" s="220">
        <f t="shared" si="32"/>
        <v>0</v>
      </c>
      <c r="H418" s="220">
        <f t="shared" si="32"/>
        <v>0</v>
      </c>
      <c r="R418" s="6"/>
      <c r="S418" s="6"/>
      <c r="T418" s="6"/>
    </row>
    <row r="419" spans="1:20" x14ac:dyDescent="0.25">
      <c r="R419" s="6"/>
      <c r="S419" s="6"/>
      <c r="T419" s="6"/>
    </row>
    <row r="420" spans="1:20" ht="15.75" thickBot="1" x14ac:dyDescent="0.3">
      <c r="R420" s="6"/>
      <c r="S420" s="6"/>
      <c r="T420" s="6"/>
    </row>
    <row r="421" spans="1:20" ht="33.75" customHeight="1" x14ac:dyDescent="0.25">
      <c r="A421" s="1543" t="s">
        <v>523</v>
      </c>
      <c r="B421" s="1544"/>
      <c r="C421" s="1544"/>
      <c r="D421" s="1544"/>
      <c r="E421" s="1544"/>
      <c r="F421" s="1544"/>
      <c r="G421" s="1544"/>
      <c r="H421" s="1544"/>
      <c r="I421" s="1544"/>
      <c r="J421" s="1160" t="s">
        <v>38</v>
      </c>
      <c r="K421" s="1160"/>
      <c r="L421" s="1140" t="s">
        <v>39</v>
      </c>
      <c r="M421" s="1140"/>
      <c r="N421" s="1140"/>
      <c r="O421" s="1140"/>
      <c r="P421" s="1140"/>
      <c r="Q421" s="1141"/>
      <c r="R421" s="6"/>
      <c r="S421" s="6"/>
      <c r="T421" s="6"/>
    </row>
    <row r="422" spans="1:20" ht="15" customHeight="1" x14ac:dyDescent="0.25">
      <c r="A422" s="248"/>
      <c r="B422" s="10"/>
      <c r="C422" s="10"/>
      <c r="D422" s="10"/>
      <c r="E422" s="10"/>
      <c r="F422" s="10"/>
      <c r="G422" s="10"/>
      <c r="H422" s="10"/>
      <c r="I422" s="10"/>
      <c r="J422" s="1549" t="s">
        <v>194</v>
      </c>
      <c r="K422" s="1549"/>
      <c r="L422" s="1545"/>
      <c r="M422" s="1545"/>
      <c r="N422" s="1545"/>
      <c r="O422" s="1545"/>
      <c r="P422" s="1545"/>
      <c r="Q422" s="1546"/>
      <c r="R422" s="6"/>
      <c r="S422" s="6"/>
      <c r="T422" s="6"/>
    </row>
    <row r="423" spans="1:20" ht="31.5" x14ac:dyDescent="0.25">
      <c r="A423" s="159" t="s">
        <v>195</v>
      </c>
      <c r="B423" s="1538" t="s">
        <v>196</v>
      </c>
      <c r="C423" s="1538"/>
      <c r="D423" s="217" t="s">
        <v>197</v>
      </c>
      <c r="E423" s="217" t="s">
        <v>198</v>
      </c>
      <c r="F423" s="1538" t="s">
        <v>199</v>
      </c>
      <c r="G423" s="1538"/>
      <c r="H423" s="1538" t="s">
        <v>200</v>
      </c>
      <c r="I423" s="1539"/>
      <c r="J423" s="1549"/>
      <c r="K423" s="1549"/>
      <c r="L423" s="1547"/>
      <c r="M423" s="1547"/>
      <c r="N423" s="1547"/>
      <c r="O423" s="1547"/>
      <c r="P423" s="1547"/>
      <c r="Q423" s="1548"/>
      <c r="R423" s="6"/>
      <c r="S423" s="6"/>
      <c r="T423" s="6"/>
    </row>
    <row r="424" spans="1:20" ht="21" x14ac:dyDescent="0.25">
      <c r="A424" s="1540"/>
      <c r="B424" s="1541"/>
      <c r="C424" s="1541"/>
      <c r="D424" s="1541"/>
      <c r="E424" s="1541"/>
      <c r="F424" s="1541"/>
      <c r="G424" s="1541"/>
      <c r="H424" s="1541"/>
      <c r="I424" s="1541"/>
      <c r="J424" s="1541"/>
      <c r="K424" s="1541"/>
      <c r="L424" s="362"/>
      <c r="M424" s="362"/>
      <c r="N424" s="362"/>
      <c r="O424" s="362"/>
      <c r="P424" s="362"/>
      <c r="Q424" s="362"/>
      <c r="R424" s="6"/>
      <c r="S424" s="6"/>
      <c r="T424" s="6"/>
    </row>
    <row r="425" spans="1:20" ht="34.5" customHeight="1" x14ac:dyDescent="0.25">
      <c r="A425" s="443">
        <v>1</v>
      </c>
      <c r="B425" s="921"/>
      <c r="C425" s="922"/>
      <c r="D425" s="444"/>
      <c r="E425" s="444"/>
      <c r="F425" s="913"/>
      <c r="G425" s="914"/>
      <c r="H425" s="913"/>
      <c r="I425" s="914"/>
      <c r="J425" s="913"/>
      <c r="K425" s="914"/>
      <c r="L425" s="915"/>
      <c r="M425" s="916"/>
      <c r="N425" s="916"/>
      <c r="O425" s="916"/>
      <c r="P425" s="916"/>
      <c r="Q425" s="917"/>
      <c r="R425" s="6"/>
      <c r="S425" s="6"/>
      <c r="T425" s="6"/>
    </row>
    <row r="426" spans="1:20" ht="34.5" customHeight="1" x14ac:dyDescent="0.25">
      <c r="A426" s="443">
        <v>2</v>
      </c>
      <c r="B426" s="921"/>
      <c r="C426" s="922"/>
      <c r="D426" s="444"/>
      <c r="E426" s="444"/>
      <c r="F426" s="913"/>
      <c r="G426" s="914"/>
      <c r="H426" s="913"/>
      <c r="I426" s="914"/>
      <c r="J426" s="913"/>
      <c r="K426" s="914"/>
      <c r="L426" s="915"/>
      <c r="M426" s="916"/>
      <c r="N426" s="916"/>
      <c r="O426" s="916"/>
      <c r="P426" s="916"/>
      <c r="Q426" s="917"/>
      <c r="R426" s="6"/>
      <c r="S426" s="6"/>
      <c r="T426" s="6"/>
    </row>
    <row r="427" spans="1:20" ht="34.5" customHeight="1" x14ac:dyDescent="0.25">
      <c r="A427" s="443">
        <v>3</v>
      </c>
      <c r="B427" s="921"/>
      <c r="C427" s="922"/>
      <c r="D427" s="444"/>
      <c r="E427" s="444"/>
      <c r="F427" s="913"/>
      <c r="G427" s="914"/>
      <c r="H427" s="913"/>
      <c r="I427" s="914"/>
      <c r="J427" s="913"/>
      <c r="K427" s="914"/>
      <c r="L427" s="915"/>
      <c r="M427" s="916"/>
      <c r="N427" s="916"/>
      <c r="O427" s="916"/>
      <c r="P427" s="916"/>
      <c r="Q427" s="917"/>
      <c r="R427" s="6"/>
      <c r="S427" s="6"/>
      <c r="T427" s="6"/>
    </row>
    <row r="428" spans="1:20" ht="34.5" customHeight="1" x14ac:dyDescent="0.25">
      <c r="A428" s="443">
        <v>4</v>
      </c>
      <c r="B428" s="921"/>
      <c r="C428" s="922"/>
      <c r="D428" s="444"/>
      <c r="E428" s="444"/>
      <c r="F428" s="913"/>
      <c r="G428" s="914"/>
      <c r="H428" s="913"/>
      <c r="I428" s="914"/>
      <c r="J428" s="913"/>
      <c r="K428" s="914"/>
      <c r="L428" s="915"/>
      <c r="M428" s="916"/>
      <c r="N428" s="916"/>
      <c r="O428" s="916"/>
      <c r="P428" s="916"/>
      <c r="Q428" s="917"/>
      <c r="R428" s="6"/>
      <c r="S428" s="6"/>
      <c r="T428" s="6"/>
    </row>
    <row r="429" spans="1:20" ht="34.5" customHeight="1" x14ac:dyDescent="0.25">
      <c r="A429" s="443">
        <v>5</v>
      </c>
      <c r="B429" s="921"/>
      <c r="C429" s="922"/>
      <c r="D429" s="444"/>
      <c r="E429" s="444"/>
      <c r="F429" s="913"/>
      <c r="G429" s="914"/>
      <c r="H429" s="913"/>
      <c r="I429" s="914"/>
      <c r="J429" s="913"/>
      <c r="K429" s="914"/>
      <c r="L429" s="915"/>
      <c r="M429" s="916"/>
      <c r="N429" s="916"/>
      <c r="O429" s="916"/>
      <c r="P429" s="916"/>
      <c r="Q429" s="917"/>
      <c r="R429" s="6"/>
      <c r="S429" s="6"/>
      <c r="T429" s="6"/>
    </row>
    <row r="430" spans="1:20" ht="34.5" customHeight="1" x14ac:dyDescent="0.25">
      <c r="A430" s="443">
        <v>6</v>
      </c>
      <c r="B430" s="921"/>
      <c r="C430" s="922"/>
      <c r="D430" s="444"/>
      <c r="E430" s="444"/>
      <c r="F430" s="913"/>
      <c r="G430" s="914"/>
      <c r="H430" s="913"/>
      <c r="I430" s="914"/>
      <c r="J430" s="913"/>
      <c r="K430" s="914"/>
      <c r="L430" s="915"/>
      <c r="M430" s="916"/>
      <c r="N430" s="916"/>
      <c r="O430" s="916"/>
      <c r="P430" s="916"/>
      <c r="Q430" s="917"/>
      <c r="R430" s="6"/>
      <c r="S430" s="6"/>
      <c r="T430" s="6"/>
    </row>
    <row r="431" spans="1:20" ht="34.5" customHeight="1" x14ac:dyDescent="0.25">
      <c r="A431" s="443">
        <v>7</v>
      </c>
      <c r="B431" s="921"/>
      <c r="C431" s="922"/>
      <c r="D431" s="444"/>
      <c r="E431" s="444"/>
      <c r="F431" s="913"/>
      <c r="G431" s="914"/>
      <c r="H431" s="913"/>
      <c r="I431" s="914"/>
      <c r="J431" s="913"/>
      <c r="K431" s="914"/>
      <c r="L431" s="915"/>
      <c r="M431" s="916"/>
      <c r="N431" s="916"/>
      <c r="O431" s="916"/>
      <c r="P431" s="916"/>
      <c r="Q431" s="917"/>
      <c r="R431" s="6"/>
      <c r="S431" s="6"/>
      <c r="T431" s="6"/>
    </row>
    <row r="432" spans="1:20" ht="34.5" customHeight="1" x14ac:dyDescent="0.25">
      <c r="A432" s="443">
        <v>8</v>
      </c>
      <c r="B432" s="445"/>
      <c r="C432" s="446"/>
      <c r="D432" s="444"/>
      <c r="E432" s="444"/>
      <c r="F432" s="913"/>
      <c r="G432" s="914"/>
      <c r="H432" s="913"/>
      <c r="I432" s="914"/>
      <c r="J432" s="913"/>
      <c r="K432" s="914"/>
      <c r="L432" s="915"/>
      <c r="M432" s="916"/>
      <c r="N432" s="916"/>
      <c r="O432" s="916"/>
      <c r="P432" s="916"/>
      <c r="Q432" s="917"/>
      <c r="R432" s="6"/>
      <c r="S432" s="6"/>
      <c r="T432" s="6"/>
    </row>
    <row r="433" spans="1:20" ht="34.5" customHeight="1" x14ac:dyDescent="0.25">
      <c r="A433" s="443">
        <v>9</v>
      </c>
      <c r="B433" s="921"/>
      <c r="C433" s="922"/>
      <c r="D433" s="444"/>
      <c r="E433" s="444"/>
      <c r="F433" s="913"/>
      <c r="G433" s="914"/>
      <c r="H433" s="913"/>
      <c r="I433" s="914"/>
      <c r="J433" s="913"/>
      <c r="K433" s="914"/>
      <c r="L433" s="915"/>
      <c r="M433" s="916"/>
      <c r="N433" s="916"/>
      <c r="O433" s="916"/>
      <c r="P433" s="916"/>
      <c r="Q433" s="917"/>
      <c r="R433" s="6"/>
      <c r="S433" s="6"/>
      <c r="T433" s="6"/>
    </row>
    <row r="434" spans="1:20" ht="34.5" customHeight="1" x14ac:dyDescent="0.25">
      <c r="A434" s="443">
        <v>10</v>
      </c>
      <c r="B434" s="921"/>
      <c r="C434" s="922"/>
      <c r="D434" s="444"/>
      <c r="E434" s="444"/>
      <c r="F434" s="913"/>
      <c r="G434" s="914"/>
      <c r="H434" s="913"/>
      <c r="I434" s="914"/>
      <c r="J434" s="913"/>
      <c r="K434" s="914"/>
      <c r="L434" s="915"/>
      <c r="M434" s="916"/>
      <c r="N434" s="916"/>
      <c r="O434" s="916"/>
      <c r="P434" s="916"/>
      <c r="Q434" s="917"/>
      <c r="R434" s="6"/>
      <c r="S434" s="6"/>
      <c r="T434" s="6"/>
    </row>
    <row r="435" spans="1:20" ht="34.5" customHeight="1" x14ac:dyDescent="0.25">
      <c r="A435" s="918" t="s">
        <v>912</v>
      </c>
      <c r="B435" s="919"/>
      <c r="C435" s="919"/>
      <c r="D435" s="919"/>
      <c r="E435" s="920"/>
      <c r="F435" s="913">
        <f>SUM(F425:G434)</f>
        <v>0</v>
      </c>
      <c r="G435" s="914"/>
      <c r="H435" s="913">
        <f t="shared" ref="H435" si="33">SUM(H425:I434)</f>
        <v>0</v>
      </c>
      <c r="I435" s="914"/>
      <c r="J435" s="913">
        <f t="shared" ref="J435" si="34">SUM(J425:K434)</f>
        <v>0</v>
      </c>
      <c r="K435" s="914"/>
      <c r="L435" s="915"/>
      <c r="M435" s="916"/>
      <c r="N435" s="916"/>
      <c r="O435" s="916"/>
      <c r="P435" s="916"/>
      <c r="Q435" s="917"/>
      <c r="R435" s="6"/>
      <c r="S435" s="6"/>
      <c r="T435" s="6"/>
    </row>
    <row r="436" spans="1:20" ht="21" x14ac:dyDescent="0.25">
      <c r="A436" s="1540" t="s">
        <v>495</v>
      </c>
      <c r="B436" s="1541"/>
      <c r="C436" s="1541"/>
      <c r="D436" s="1541"/>
      <c r="E436" s="1541"/>
      <c r="F436" s="1541"/>
      <c r="G436" s="1541"/>
      <c r="H436" s="1541"/>
      <c r="I436" s="1541"/>
      <c r="J436" s="1541"/>
      <c r="K436" s="1550"/>
      <c r="L436" s="1551"/>
      <c r="M436" s="1552"/>
      <c r="N436" s="1552"/>
      <c r="O436" s="1552"/>
      <c r="P436" s="1552"/>
      <c r="Q436" s="1553"/>
      <c r="R436" s="6"/>
      <c r="S436" s="6"/>
      <c r="T436" s="6"/>
    </row>
    <row r="437" spans="1:20" ht="34.5" customHeight="1" x14ac:dyDescent="0.25">
      <c r="A437" s="443">
        <v>1</v>
      </c>
      <c r="B437" s="921"/>
      <c r="C437" s="922"/>
      <c r="D437" s="444"/>
      <c r="E437" s="444"/>
      <c r="F437" s="913"/>
      <c r="G437" s="914"/>
      <c r="H437" s="913"/>
      <c r="I437" s="914"/>
      <c r="J437" s="913"/>
      <c r="K437" s="914"/>
      <c r="L437" s="915"/>
      <c r="M437" s="916"/>
      <c r="N437" s="916"/>
      <c r="O437" s="916"/>
      <c r="P437" s="916"/>
      <c r="Q437" s="917"/>
      <c r="R437" s="6"/>
      <c r="S437" s="6"/>
      <c r="T437" s="6"/>
    </row>
    <row r="438" spans="1:20" ht="34.5" customHeight="1" x14ac:dyDescent="0.25">
      <c r="A438" s="443">
        <v>2</v>
      </c>
      <c r="B438" s="921"/>
      <c r="C438" s="922"/>
      <c r="D438" s="444"/>
      <c r="E438" s="444"/>
      <c r="F438" s="913"/>
      <c r="G438" s="914"/>
      <c r="H438" s="913"/>
      <c r="I438" s="914"/>
      <c r="J438" s="913"/>
      <c r="K438" s="914"/>
      <c r="L438" s="915"/>
      <c r="M438" s="916"/>
      <c r="N438" s="916"/>
      <c r="O438" s="916"/>
      <c r="P438" s="916"/>
      <c r="Q438" s="917"/>
      <c r="R438" s="6"/>
      <c r="S438" s="6"/>
      <c r="T438" s="6"/>
    </row>
    <row r="439" spans="1:20" ht="34.5" customHeight="1" x14ac:dyDescent="0.25">
      <c r="A439" s="443">
        <v>3</v>
      </c>
      <c r="B439" s="921"/>
      <c r="C439" s="922"/>
      <c r="D439" s="444"/>
      <c r="E439" s="444"/>
      <c r="F439" s="913"/>
      <c r="G439" s="914"/>
      <c r="H439" s="913"/>
      <c r="I439" s="914"/>
      <c r="J439" s="913"/>
      <c r="K439" s="914"/>
      <c r="L439" s="915"/>
      <c r="M439" s="916"/>
      <c r="N439" s="916"/>
      <c r="O439" s="916"/>
      <c r="P439" s="916"/>
      <c r="Q439" s="917"/>
      <c r="R439" s="6"/>
      <c r="S439" s="6"/>
      <c r="T439" s="6"/>
    </row>
    <row r="440" spans="1:20" ht="34.5" customHeight="1" x14ac:dyDescent="0.25">
      <c r="A440" s="443">
        <v>4</v>
      </c>
      <c r="B440" s="921"/>
      <c r="C440" s="922"/>
      <c r="D440" s="444"/>
      <c r="E440" s="444"/>
      <c r="F440" s="913"/>
      <c r="G440" s="914"/>
      <c r="H440" s="913"/>
      <c r="I440" s="914"/>
      <c r="J440" s="913"/>
      <c r="K440" s="914"/>
      <c r="L440" s="915"/>
      <c r="M440" s="916"/>
      <c r="N440" s="916"/>
      <c r="O440" s="916"/>
      <c r="P440" s="916"/>
      <c r="Q440" s="917"/>
      <c r="R440" s="6"/>
      <c r="S440" s="6"/>
      <c r="T440" s="6"/>
    </row>
    <row r="441" spans="1:20" ht="34.5" customHeight="1" x14ac:dyDescent="0.25">
      <c r="A441" s="443">
        <v>5</v>
      </c>
      <c r="B441" s="921"/>
      <c r="C441" s="922"/>
      <c r="D441" s="444"/>
      <c r="E441" s="444"/>
      <c r="F441" s="913"/>
      <c r="G441" s="914"/>
      <c r="H441" s="913"/>
      <c r="I441" s="914"/>
      <c r="J441" s="913"/>
      <c r="K441" s="914"/>
      <c r="L441" s="915"/>
      <c r="M441" s="916"/>
      <c r="N441" s="916"/>
      <c r="O441" s="916"/>
      <c r="P441" s="916"/>
      <c r="Q441" s="917"/>
      <c r="R441" s="6"/>
      <c r="S441" s="6"/>
      <c r="T441" s="6"/>
    </row>
    <row r="442" spans="1:20" ht="34.5" customHeight="1" x14ac:dyDescent="0.25">
      <c r="A442" s="443">
        <v>6</v>
      </c>
      <c r="B442" s="921"/>
      <c r="C442" s="922"/>
      <c r="D442" s="444"/>
      <c r="E442" s="444"/>
      <c r="F442" s="913"/>
      <c r="G442" s="914"/>
      <c r="H442" s="913"/>
      <c r="I442" s="914"/>
      <c r="J442" s="913"/>
      <c r="K442" s="914"/>
      <c r="L442" s="915"/>
      <c r="M442" s="916"/>
      <c r="N442" s="916"/>
      <c r="O442" s="916"/>
      <c r="P442" s="916"/>
      <c r="Q442" s="917"/>
      <c r="R442" s="6"/>
      <c r="S442" s="6"/>
      <c r="T442" s="6"/>
    </row>
    <row r="443" spans="1:20" ht="34.5" customHeight="1" x14ac:dyDescent="0.25">
      <c r="A443" s="443">
        <v>7</v>
      </c>
      <c r="B443" s="921"/>
      <c r="C443" s="922"/>
      <c r="D443" s="444"/>
      <c r="E443" s="444"/>
      <c r="F443" s="913"/>
      <c r="G443" s="914"/>
      <c r="H443" s="913"/>
      <c r="I443" s="914"/>
      <c r="J443" s="913"/>
      <c r="K443" s="914"/>
      <c r="L443" s="915"/>
      <c r="M443" s="916"/>
      <c r="N443" s="916"/>
      <c r="O443" s="916"/>
      <c r="P443" s="916"/>
      <c r="Q443" s="917"/>
      <c r="R443" s="6"/>
      <c r="S443" s="6"/>
      <c r="T443" s="6"/>
    </row>
    <row r="444" spans="1:20" ht="34.5" customHeight="1" x14ac:dyDescent="0.25">
      <c r="A444" s="443">
        <v>8</v>
      </c>
      <c r="B444" s="921"/>
      <c r="C444" s="922"/>
      <c r="D444" s="444"/>
      <c r="E444" s="444"/>
      <c r="F444" s="913"/>
      <c r="G444" s="914"/>
      <c r="H444" s="913"/>
      <c r="I444" s="914"/>
      <c r="J444" s="913"/>
      <c r="K444" s="914"/>
      <c r="L444" s="915"/>
      <c r="M444" s="916"/>
      <c r="N444" s="916"/>
      <c r="O444" s="916"/>
      <c r="P444" s="916"/>
      <c r="Q444" s="917"/>
      <c r="R444" s="6"/>
      <c r="S444" s="6"/>
      <c r="T444" s="6"/>
    </row>
    <row r="445" spans="1:20" ht="34.5" customHeight="1" x14ac:dyDescent="0.25">
      <c r="A445" s="443">
        <v>9</v>
      </c>
      <c r="B445" s="921"/>
      <c r="C445" s="922"/>
      <c r="D445" s="444"/>
      <c r="E445" s="444"/>
      <c r="F445" s="913"/>
      <c r="G445" s="914"/>
      <c r="H445" s="913"/>
      <c r="I445" s="914"/>
      <c r="J445" s="913"/>
      <c r="K445" s="914"/>
      <c r="L445" s="915"/>
      <c r="M445" s="916"/>
      <c r="N445" s="916"/>
      <c r="O445" s="916"/>
      <c r="P445" s="916"/>
      <c r="Q445" s="917"/>
      <c r="R445" s="6"/>
      <c r="S445" s="6"/>
      <c r="T445" s="6"/>
    </row>
    <row r="446" spans="1:20" ht="34.5" customHeight="1" x14ac:dyDescent="0.25">
      <c r="A446" s="443">
        <v>10</v>
      </c>
      <c r="B446" s="921"/>
      <c r="C446" s="922"/>
      <c r="D446" s="444"/>
      <c r="E446" s="444"/>
      <c r="F446" s="913"/>
      <c r="G446" s="914"/>
      <c r="H446" s="913"/>
      <c r="I446" s="914"/>
      <c r="J446" s="913"/>
      <c r="K446" s="914"/>
      <c r="L446" s="915"/>
      <c r="M446" s="916"/>
      <c r="N446" s="916"/>
      <c r="O446" s="916"/>
      <c r="P446" s="916"/>
      <c r="Q446" s="917"/>
      <c r="R446" s="6"/>
      <c r="S446" s="6"/>
      <c r="T446" s="6"/>
    </row>
    <row r="447" spans="1:20" ht="34.5" customHeight="1" x14ac:dyDescent="0.25">
      <c r="A447" s="443">
        <v>11</v>
      </c>
      <c r="B447" s="921"/>
      <c r="C447" s="922"/>
      <c r="D447" s="444"/>
      <c r="E447" s="444"/>
      <c r="F447" s="913"/>
      <c r="G447" s="914"/>
      <c r="H447" s="913"/>
      <c r="I447" s="914"/>
      <c r="J447" s="913"/>
      <c r="K447" s="914"/>
      <c r="L447" s="915"/>
      <c r="M447" s="916"/>
      <c r="N447" s="916"/>
      <c r="O447" s="916"/>
      <c r="P447" s="916"/>
      <c r="Q447" s="917"/>
      <c r="R447" s="6"/>
      <c r="S447" s="6"/>
      <c r="T447" s="6"/>
    </row>
    <row r="448" spans="1:20" ht="34.5" customHeight="1" x14ac:dyDescent="0.25">
      <c r="A448" s="443">
        <v>12</v>
      </c>
      <c r="B448" s="921"/>
      <c r="C448" s="922"/>
      <c r="D448" s="444"/>
      <c r="E448" s="444"/>
      <c r="F448" s="913"/>
      <c r="G448" s="914"/>
      <c r="H448" s="913"/>
      <c r="I448" s="914"/>
      <c r="J448" s="913"/>
      <c r="K448" s="914"/>
      <c r="L448" s="915"/>
      <c r="M448" s="916"/>
      <c r="N448" s="916"/>
      <c r="O448" s="916"/>
      <c r="P448" s="916"/>
      <c r="Q448" s="917"/>
      <c r="R448" s="6"/>
      <c r="S448" s="6"/>
      <c r="T448" s="6"/>
    </row>
    <row r="449" spans="1:20" ht="34.5" customHeight="1" x14ac:dyDescent="0.25">
      <c r="A449" s="443">
        <v>13</v>
      </c>
      <c r="B449" s="921"/>
      <c r="C449" s="922"/>
      <c r="D449" s="444"/>
      <c r="E449" s="444"/>
      <c r="F449" s="913"/>
      <c r="G449" s="914"/>
      <c r="H449" s="913"/>
      <c r="I449" s="914"/>
      <c r="J449" s="913"/>
      <c r="K449" s="914"/>
      <c r="L449" s="915"/>
      <c r="M449" s="916"/>
      <c r="N449" s="916"/>
      <c r="O449" s="916"/>
      <c r="P449" s="916"/>
      <c r="Q449" s="917"/>
      <c r="R449" s="6"/>
      <c r="S449" s="6"/>
      <c r="T449" s="6"/>
    </row>
    <row r="450" spans="1:20" ht="34.5" customHeight="1" x14ac:dyDescent="0.25">
      <c r="A450" s="918" t="s">
        <v>911</v>
      </c>
      <c r="B450" s="919"/>
      <c r="C450" s="919"/>
      <c r="D450" s="919"/>
      <c r="E450" s="920"/>
      <c r="F450" s="913">
        <f>SUM(F437:G449)</f>
        <v>0</v>
      </c>
      <c r="G450" s="914"/>
      <c r="H450" s="913">
        <f>SUM(H437:I449)</f>
        <v>0</v>
      </c>
      <c r="I450" s="914"/>
      <c r="J450" s="913">
        <f>SUM(J437:K449)</f>
        <v>0</v>
      </c>
      <c r="K450" s="914"/>
      <c r="L450" s="915"/>
      <c r="M450" s="916"/>
      <c r="N450" s="916"/>
      <c r="O450" s="916"/>
      <c r="P450" s="916"/>
      <c r="Q450" s="917"/>
      <c r="R450" s="6"/>
      <c r="S450" s="6"/>
      <c r="T450" s="6"/>
    </row>
    <row r="451" spans="1:20" ht="34.5" customHeight="1" x14ac:dyDescent="0.25">
      <c r="A451" s="918" t="s">
        <v>913</v>
      </c>
      <c r="B451" s="919"/>
      <c r="C451" s="919"/>
      <c r="D451" s="919"/>
      <c r="E451" s="920"/>
      <c r="F451" s="913">
        <f>SUM(F435,F450)</f>
        <v>0</v>
      </c>
      <c r="G451" s="914"/>
      <c r="H451" s="913">
        <f t="shared" ref="H451" si="35">SUM(H435,H450)</f>
        <v>0</v>
      </c>
      <c r="I451" s="914"/>
      <c r="J451" s="913">
        <f t="shared" ref="J451" si="36">SUM(J435,J450)</f>
        <v>0</v>
      </c>
      <c r="K451" s="914"/>
      <c r="L451" s="915"/>
      <c r="M451" s="916"/>
      <c r="N451" s="916"/>
      <c r="O451" s="916"/>
      <c r="P451" s="916"/>
      <c r="Q451" s="917"/>
      <c r="R451" s="6"/>
      <c r="S451" s="6"/>
      <c r="T451" s="6"/>
    </row>
  </sheetData>
  <protectedRanges>
    <protectedRange sqref="N285:Q285" name="Printing"/>
    <protectedRange sqref="O19:S30 Q31:U31" name="General"/>
    <protectedRange sqref="A84:B84" name="Honorarium"/>
    <protectedRange sqref="A85:B85" name="Honorarium_1"/>
    <protectedRange sqref="A347:A353" name="Procurement of Equipment"/>
  </protectedRanges>
  <mergeCells count="1435">
    <mergeCell ref="D234:E234"/>
    <mergeCell ref="H234:I234"/>
    <mergeCell ref="J234:K234"/>
    <mergeCell ref="A235:B235"/>
    <mergeCell ref="D235:E235"/>
    <mergeCell ref="H235:I235"/>
    <mergeCell ref="J235:K235"/>
    <mergeCell ref="A236:B236"/>
    <mergeCell ref="A133:B133"/>
    <mergeCell ref="E133:F133"/>
    <mergeCell ref="G133:H133"/>
    <mergeCell ref="I133:J133"/>
    <mergeCell ref="K133:L133"/>
    <mergeCell ref="A226:B226"/>
    <mergeCell ref="D226:E226"/>
    <mergeCell ref="H226:I226"/>
    <mergeCell ref="J226:K226"/>
    <mergeCell ref="A223:B223"/>
    <mergeCell ref="D223:E223"/>
    <mergeCell ref="F223:G223"/>
    <mergeCell ref="H223:I223"/>
    <mergeCell ref="J223:K223"/>
    <mergeCell ref="A224:B224"/>
    <mergeCell ref="D224:E224"/>
    <mergeCell ref="H224:I224"/>
    <mergeCell ref="J224:K224"/>
    <mergeCell ref="A221:B221"/>
    <mergeCell ref="A227:B227"/>
    <mergeCell ref="D227:E227"/>
    <mergeCell ref="H227:I227"/>
    <mergeCell ref="J227:K227"/>
    <mergeCell ref="A228:B228"/>
    <mergeCell ref="D228:E228"/>
    <mergeCell ref="H228:I228"/>
    <mergeCell ref="J228:K228"/>
    <mergeCell ref="A225:B225"/>
    <mergeCell ref="D225:E225"/>
    <mergeCell ref="F225:G225"/>
    <mergeCell ref="H225:I225"/>
    <mergeCell ref="J225:K225"/>
    <mergeCell ref="F83:G83"/>
    <mergeCell ref="H83:I83"/>
    <mergeCell ref="J83:K83"/>
    <mergeCell ref="A66:I66"/>
    <mergeCell ref="J66:M66"/>
    <mergeCell ref="A74:B74"/>
    <mergeCell ref="D74:E74"/>
    <mergeCell ref="F74:G74"/>
    <mergeCell ref="H74:I74"/>
    <mergeCell ref="J74:K74"/>
    <mergeCell ref="A76:I76"/>
    <mergeCell ref="J76:M76"/>
    <mergeCell ref="J72:K72"/>
    <mergeCell ref="A73:B73"/>
    <mergeCell ref="A199:B199"/>
    <mergeCell ref="A211:B211"/>
    <mergeCell ref="D211:E211"/>
    <mergeCell ref="H211:I211"/>
    <mergeCell ref="J211:K211"/>
    <mergeCell ref="A212:B212"/>
    <mergeCell ref="D212:E212"/>
    <mergeCell ref="H212:I212"/>
    <mergeCell ref="J212:K212"/>
    <mergeCell ref="D221:E221"/>
    <mergeCell ref="J291:K291"/>
    <mergeCell ref="D288:E288"/>
    <mergeCell ref="F288:G288"/>
    <mergeCell ref="H288:I288"/>
    <mergeCell ref="J288:K288"/>
    <mergeCell ref="D289:E289"/>
    <mergeCell ref="F289:G289"/>
    <mergeCell ref="H289:I289"/>
    <mergeCell ref="J289:K289"/>
    <mergeCell ref="F286:G286"/>
    <mergeCell ref="H286:I286"/>
    <mergeCell ref="J286:K286"/>
    <mergeCell ref="D287:E287"/>
    <mergeCell ref="F287:G287"/>
    <mergeCell ref="H287:I287"/>
    <mergeCell ref="J287:K287"/>
    <mergeCell ref="E98:E99"/>
    <mergeCell ref="G98:G99"/>
    <mergeCell ref="D198:E198"/>
    <mergeCell ref="H198:I198"/>
    <mergeCell ref="J198:K198"/>
    <mergeCell ref="D199:E199"/>
    <mergeCell ref="H199:I199"/>
    <mergeCell ref="J199:K199"/>
    <mergeCell ref="D270:E270"/>
    <mergeCell ref="F270:G270"/>
    <mergeCell ref="H270:I270"/>
    <mergeCell ref="J270:K270"/>
    <mergeCell ref="A259:I259"/>
    <mergeCell ref="J259:M259"/>
    <mergeCell ref="C252:D252"/>
    <mergeCell ref="E252:F252"/>
    <mergeCell ref="A229:B229"/>
    <mergeCell ref="D229:E229"/>
    <mergeCell ref="H229:I229"/>
    <mergeCell ref="J229:K229"/>
    <mergeCell ref="A230:B230"/>
    <mergeCell ref="D230:E230"/>
    <mergeCell ref="H230:I230"/>
    <mergeCell ref="J230:K230"/>
    <mergeCell ref="H280:I280"/>
    <mergeCell ref="A281:G281"/>
    <mergeCell ref="H281:I281"/>
    <mergeCell ref="A277:G277"/>
    <mergeCell ref="H277:I277"/>
    <mergeCell ref="D231:E231"/>
    <mergeCell ref="H231:I231"/>
    <mergeCell ref="J231:K231"/>
    <mergeCell ref="A232:B232"/>
    <mergeCell ref="D232:E232"/>
    <mergeCell ref="H232:I232"/>
    <mergeCell ref="J232:K232"/>
    <mergeCell ref="A233:B233"/>
    <mergeCell ref="D233:E233"/>
    <mergeCell ref="H233:I233"/>
    <mergeCell ref="J233:K233"/>
    <mergeCell ref="A234:B234"/>
    <mergeCell ref="A278:I278"/>
    <mergeCell ref="A279:G279"/>
    <mergeCell ref="H279:I279"/>
    <mergeCell ref="F269:G269"/>
    <mergeCell ref="H269:I269"/>
    <mergeCell ref="J269:K269"/>
    <mergeCell ref="B270:C270"/>
    <mergeCell ref="A436:K436"/>
    <mergeCell ref="L436:Q436"/>
    <mergeCell ref="B437:C437"/>
    <mergeCell ref="F437:G437"/>
    <mergeCell ref="B438:C438"/>
    <mergeCell ref="F438:G438"/>
    <mergeCell ref="B446:C446"/>
    <mergeCell ref="F446:G446"/>
    <mergeCell ref="H446:I446"/>
    <mergeCell ref="A284:I284"/>
    <mergeCell ref="J284:M284"/>
    <mergeCell ref="N284:Q284"/>
    <mergeCell ref="A285:C285"/>
    <mergeCell ref="D285:E285"/>
    <mergeCell ref="F285:G285"/>
    <mergeCell ref="H285:I285"/>
    <mergeCell ref="J285:K285"/>
    <mergeCell ref="N285:Q291"/>
    <mergeCell ref="D286:E286"/>
    <mergeCell ref="B286:C286"/>
    <mergeCell ref="B287:C287"/>
    <mergeCell ref="B288:C288"/>
    <mergeCell ref="B289:C289"/>
    <mergeCell ref="B290:C290"/>
    <mergeCell ref="B291:C291"/>
    <mergeCell ref="D290:E290"/>
    <mergeCell ref="F290:G290"/>
    <mergeCell ref="H290:I290"/>
    <mergeCell ref="J290:K290"/>
    <mergeCell ref="D291:E291"/>
    <mergeCell ref="F291:G291"/>
    <mergeCell ref="H291:I291"/>
    <mergeCell ref="B433:C433"/>
    <mergeCell ref="F433:G433"/>
    <mergeCell ref="H433:I433"/>
    <mergeCell ref="J433:K433"/>
    <mergeCell ref="L433:Q433"/>
    <mergeCell ref="B434:C434"/>
    <mergeCell ref="F434:G434"/>
    <mergeCell ref="H434:I434"/>
    <mergeCell ref="J434:K434"/>
    <mergeCell ref="L434:Q434"/>
    <mergeCell ref="B431:C431"/>
    <mergeCell ref="F431:G431"/>
    <mergeCell ref="H431:I431"/>
    <mergeCell ref="J431:K431"/>
    <mergeCell ref="L431:Q431"/>
    <mergeCell ref="F432:G432"/>
    <mergeCell ref="H432:I432"/>
    <mergeCell ref="J432:K432"/>
    <mergeCell ref="L432:Q432"/>
    <mergeCell ref="B429:C429"/>
    <mergeCell ref="F429:G429"/>
    <mergeCell ref="H429:I429"/>
    <mergeCell ref="J429:K429"/>
    <mergeCell ref="L429:Q429"/>
    <mergeCell ref="B430:C430"/>
    <mergeCell ref="F430:G430"/>
    <mergeCell ref="H430:I430"/>
    <mergeCell ref="J430:K430"/>
    <mergeCell ref="L430:Q430"/>
    <mergeCell ref="B427:C427"/>
    <mergeCell ref="F427:G427"/>
    <mergeCell ref="H427:I427"/>
    <mergeCell ref="J427:K427"/>
    <mergeCell ref="L427:Q427"/>
    <mergeCell ref="B428:C428"/>
    <mergeCell ref="F428:G428"/>
    <mergeCell ref="H428:I428"/>
    <mergeCell ref="J428:K428"/>
    <mergeCell ref="L428:Q428"/>
    <mergeCell ref="L425:Q425"/>
    <mergeCell ref="B426:C426"/>
    <mergeCell ref="F426:G426"/>
    <mergeCell ref="H426:I426"/>
    <mergeCell ref="J426:K426"/>
    <mergeCell ref="L426:Q426"/>
    <mergeCell ref="H423:I423"/>
    <mergeCell ref="A424:K424"/>
    <mergeCell ref="B425:C425"/>
    <mergeCell ref="F425:G425"/>
    <mergeCell ref="H425:I425"/>
    <mergeCell ref="J425:K425"/>
    <mergeCell ref="B411:C411"/>
    <mergeCell ref="I411:J411"/>
    <mergeCell ref="M411:N411"/>
    <mergeCell ref="O411:Q411"/>
    <mergeCell ref="A421:I421"/>
    <mergeCell ref="J421:K421"/>
    <mergeCell ref="L421:Q423"/>
    <mergeCell ref="J422:K423"/>
    <mergeCell ref="B423:C423"/>
    <mergeCell ref="F423:G423"/>
    <mergeCell ref="B409:C409"/>
    <mergeCell ref="I409:J409"/>
    <mergeCell ref="M409:N409"/>
    <mergeCell ref="O409:Q409"/>
    <mergeCell ref="B410:C410"/>
    <mergeCell ref="I410:J410"/>
    <mergeCell ref="M410:N410"/>
    <mergeCell ref="O410:Q410"/>
    <mergeCell ref="C414:D414"/>
    <mergeCell ref="E414:F414"/>
    <mergeCell ref="B407:C407"/>
    <mergeCell ref="I407:J407"/>
    <mergeCell ref="M407:N407"/>
    <mergeCell ref="O407:Q407"/>
    <mergeCell ref="B408:C408"/>
    <mergeCell ref="I408:J408"/>
    <mergeCell ref="M408:N408"/>
    <mergeCell ref="O408:Q408"/>
    <mergeCell ref="G414:H414"/>
    <mergeCell ref="B405:C405"/>
    <mergeCell ref="I405:J405"/>
    <mergeCell ref="M405:N405"/>
    <mergeCell ref="O405:Q405"/>
    <mergeCell ref="B406:C406"/>
    <mergeCell ref="I406:J406"/>
    <mergeCell ref="M406:N406"/>
    <mergeCell ref="O406:Q406"/>
    <mergeCell ref="B403:C403"/>
    <mergeCell ref="I403:J403"/>
    <mergeCell ref="M403:N403"/>
    <mergeCell ref="O403:Q403"/>
    <mergeCell ref="B404:C404"/>
    <mergeCell ref="I404:J404"/>
    <mergeCell ref="M404:N404"/>
    <mergeCell ref="O404:Q404"/>
    <mergeCell ref="B401:C401"/>
    <mergeCell ref="I401:J401"/>
    <mergeCell ref="M401:N401"/>
    <mergeCell ref="O401:Q401"/>
    <mergeCell ref="B402:C402"/>
    <mergeCell ref="I402:J402"/>
    <mergeCell ref="M402:N402"/>
    <mergeCell ref="O402:Q402"/>
    <mergeCell ref="B399:C399"/>
    <mergeCell ref="I399:J399"/>
    <mergeCell ref="M399:N399"/>
    <mergeCell ref="O399:Q399"/>
    <mergeCell ref="B400:C400"/>
    <mergeCell ref="I400:J400"/>
    <mergeCell ref="M400:N400"/>
    <mergeCell ref="O400:Q400"/>
    <mergeCell ref="B397:C397"/>
    <mergeCell ref="I397:J397"/>
    <mergeCell ref="M397:N397"/>
    <mergeCell ref="O397:Q397"/>
    <mergeCell ref="B398:C398"/>
    <mergeCell ref="I398:J398"/>
    <mergeCell ref="M398:N398"/>
    <mergeCell ref="O398:Q398"/>
    <mergeCell ref="B395:C395"/>
    <mergeCell ref="I395:J395"/>
    <mergeCell ref="M395:N395"/>
    <mergeCell ref="O395:Q395"/>
    <mergeCell ref="B396:C396"/>
    <mergeCell ref="I396:J396"/>
    <mergeCell ref="M396:N396"/>
    <mergeCell ref="O396:Q396"/>
    <mergeCell ref="B393:C393"/>
    <mergeCell ref="I393:J393"/>
    <mergeCell ref="M393:N393"/>
    <mergeCell ref="O393:Q393"/>
    <mergeCell ref="B394:C394"/>
    <mergeCell ref="I394:J394"/>
    <mergeCell ref="M394:N394"/>
    <mergeCell ref="O394:Q394"/>
    <mergeCell ref="B391:C391"/>
    <mergeCell ref="I391:J391"/>
    <mergeCell ref="M391:N391"/>
    <mergeCell ref="O391:Q391"/>
    <mergeCell ref="B392:C392"/>
    <mergeCell ref="I392:J392"/>
    <mergeCell ref="M392:N392"/>
    <mergeCell ref="O392:Q392"/>
    <mergeCell ref="K388:N388"/>
    <mergeCell ref="O388:Q390"/>
    <mergeCell ref="A389:A390"/>
    <mergeCell ref="B389:C390"/>
    <mergeCell ref="D389:E389"/>
    <mergeCell ref="F389:H389"/>
    <mergeCell ref="I389:J390"/>
    <mergeCell ref="K389:L389"/>
    <mergeCell ref="M389:N390"/>
    <mergeCell ref="A384:B384"/>
    <mergeCell ref="C384:D384"/>
    <mergeCell ref="F384:G384"/>
    <mergeCell ref="H384:I384"/>
    <mergeCell ref="J384:K384"/>
    <mergeCell ref="A387:Q387"/>
    <mergeCell ref="A382:B382"/>
    <mergeCell ref="F382:G382"/>
    <mergeCell ref="H382:I382"/>
    <mergeCell ref="J382:K382"/>
    <mergeCell ref="A383:B383"/>
    <mergeCell ref="F383:G383"/>
    <mergeCell ref="H383:I383"/>
    <mergeCell ref="J383:K383"/>
    <mergeCell ref="A380:B380"/>
    <mergeCell ref="F380:G380"/>
    <mergeCell ref="H380:I380"/>
    <mergeCell ref="J380:K380"/>
    <mergeCell ref="A381:B381"/>
    <mergeCell ref="F381:G381"/>
    <mergeCell ref="H381:I381"/>
    <mergeCell ref="J381:K381"/>
    <mergeCell ref="A377:M377"/>
    <mergeCell ref="A378:B378"/>
    <mergeCell ref="C378:D383"/>
    <mergeCell ref="F378:G378"/>
    <mergeCell ref="H378:I378"/>
    <mergeCell ref="J378:K378"/>
    <mergeCell ref="A379:B379"/>
    <mergeCell ref="F379:G379"/>
    <mergeCell ref="H379:I379"/>
    <mergeCell ref="J379:K379"/>
    <mergeCell ref="F376:G376"/>
    <mergeCell ref="H376:I376"/>
    <mergeCell ref="J376:K376"/>
    <mergeCell ref="A373:B373"/>
    <mergeCell ref="F373:G373"/>
    <mergeCell ref="H373:I373"/>
    <mergeCell ref="J373:K373"/>
    <mergeCell ref="A374:B374"/>
    <mergeCell ref="F374:G374"/>
    <mergeCell ref="H374:I374"/>
    <mergeCell ref="J374:K374"/>
    <mergeCell ref="A370:M370"/>
    <mergeCell ref="A371:B371"/>
    <mergeCell ref="C371:D376"/>
    <mergeCell ref="F371:G371"/>
    <mergeCell ref="H371:I371"/>
    <mergeCell ref="J371:K371"/>
    <mergeCell ref="A372:B372"/>
    <mergeCell ref="F372:G372"/>
    <mergeCell ref="H372:I372"/>
    <mergeCell ref="J372:K372"/>
    <mergeCell ref="H360:I360"/>
    <mergeCell ref="J360:K360"/>
    <mergeCell ref="A361:B361"/>
    <mergeCell ref="C361:D361"/>
    <mergeCell ref="F361:G361"/>
    <mergeCell ref="H361:I361"/>
    <mergeCell ref="J361:K361"/>
    <mergeCell ref="A367:I367"/>
    <mergeCell ref="J367:M367"/>
    <mergeCell ref="N367:Q367"/>
    <mergeCell ref="J368:K369"/>
    <mergeCell ref="L368:M368"/>
    <mergeCell ref="N368:Q384"/>
    <mergeCell ref="A369:B369"/>
    <mergeCell ref="C369:D369"/>
    <mergeCell ref="F369:G369"/>
    <mergeCell ref="H369:I369"/>
    <mergeCell ref="A364:B364"/>
    <mergeCell ref="C364:D364"/>
    <mergeCell ref="F364:G364"/>
    <mergeCell ref="H364:I364"/>
    <mergeCell ref="J364:K364"/>
    <mergeCell ref="A365:B365"/>
    <mergeCell ref="C365:D365"/>
    <mergeCell ref="F365:G365"/>
    <mergeCell ref="H365:I365"/>
    <mergeCell ref="J365:K365"/>
    <mergeCell ref="A375:B375"/>
    <mergeCell ref="F375:G375"/>
    <mergeCell ref="H375:I375"/>
    <mergeCell ref="J375:K375"/>
    <mergeCell ref="A376:B376"/>
    <mergeCell ref="A357:I357"/>
    <mergeCell ref="J357:M357"/>
    <mergeCell ref="N357:Q357"/>
    <mergeCell ref="J358:K359"/>
    <mergeCell ref="L358:M358"/>
    <mergeCell ref="N358:Q365"/>
    <mergeCell ref="A359:B359"/>
    <mergeCell ref="C359:D359"/>
    <mergeCell ref="F359:G359"/>
    <mergeCell ref="H359:I359"/>
    <mergeCell ref="E354:G354"/>
    <mergeCell ref="H354:I354"/>
    <mergeCell ref="J354:K354"/>
    <mergeCell ref="L354:M354"/>
    <mergeCell ref="A355:D355"/>
    <mergeCell ref="E355:G355"/>
    <mergeCell ref="H355:I355"/>
    <mergeCell ref="J355:K355"/>
    <mergeCell ref="L355:M355"/>
    <mergeCell ref="A362:B362"/>
    <mergeCell ref="C362:D362"/>
    <mergeCell ref="F362:G362"/>
    <mergeCell ref="H362:I362"/>
    <mergeCell ref="J362:K362"/>
    <mergeCell ref="A363:B363"/>
    <mergeCell ref="C363:D363"/>
    <mergeCell ref="F363:G363"/>
    <mergeCell ref="H363:I363"/>
    <mergeCell ref="J363:K363"/>
    <mergeCell ref="A360:B360"/>
    <mergeCell ref="C360:D360"/>
    <mergeCell ref="F360:G360"/>
    <mergeCell ref="C352:D352"/>
    <mergeCell ref="E352:G352"/>
    <mergeCell ref="H352:I352"/>
    <mergeCell ref="J352:K352"/>
    <mergeCell ref="L352:M352"/>
    <mergeCell ref="C353:D353"/>
    <mergeCell ref="E353:G353"/>
    <mergeCell ref="H353:I353"/>
    <mergeCell ref="J353:K353"/>
    <mergeCell ref="L353:M353"/>
    <mergeCell ref="C350:D350"/>
    <mergeCell ref="E350:G350"/>
    <mergeCell ref="H350:I350"/>
    <mergeCell ref="J350:K350"/>
    <mergeCell ref="L350:M350"/>
    <mergeCell ref="C351:D351"/>
    <mergeCell ref="E351:G351"/>
    <mergeCell ref="H351:I351"/>
    <mergeCell ref="J351:K351"/>
    <mergeCell ref="L351:M351"/>
    <mergeCell ref="C349:D349"/>
    <mergeCell ref="E349:G349"/>
    <mergeCell ref="H349:I349"/>
    <mergeCell ref="J349:K349"/>
    <mergeCell ref="L349:M349"/>
    <mergeCell ref="C338:D338"/>
    <mergeCell ref="E338:G338"/>
    <mergeCell ref="H338:I338"/>
    <mergeCell ref="J338:K338"/>
    <mergeCell ref="L338:M338"/>
    <mergeCell ref="C339:D339"/>
    <mergeCell ref="E339:G339"/>
    <mergeCell ref="H339:I339"/>
    <mergeCell ref="J339:K339"/>
    <mergeCell ref="L339:M339"/>
    <mergeCell ref="C340:D340"/>
    <mergeCell ref="E340:G340"/>
    <mergeCell ref="C341:D341"/>
    <mergeCell ref="E341:G341"/>
    <mergeCell ref="C342:D342"/>
    <mergeCell ref="E342:G342"/>
    <mergeCell ref="C343:D343"/>
    <mergeCell ref="E343:G343"/>
    <mergeCell ref="H343:I343"/>
    <mergeCell ref="J343:K343"/>
    <mergeCell ref="L343:M343"/>
    <mergeCell ref="C344:D344"/>
    <mergeCell ref="C337:D337"/>
    <mergeCell ref="E337:G337"/>
    <mergeCell ref="H337:I337"/>
    <mergeCell ref="J337:K337"/>
    <mergeCell ref="L337:M337"/>
    <mergeCell ref="C334:D334"/>
    <mergeCell ref="E334:G334"/>
    <mergeCell ref="H334:I334"/>
    <mergeCell ref="J334:K334"/>
    <mergeCell ref="L334:M334"/>
    <mergeCell ref="C335:D335"/>
    <mergeCell ref="E335:G335"/>
    <mergeCell ref="H335:I335"/>
    <mergeCell ref="J335:K335"/>
    <mergeCell ref="L335:M335"/>
    <mergeCell ref="C348:D348"/>
    <mergeCell ref="E348:G348"/>
    <mergeCell ref="H348:I348"/>
    <mergeCell ref="J348:K348"/>
    <mergeCell ref="L348:M348"/>
    <mergeCell ref="C347:D347"/>
    <mergeCell ref="C331:D331"/>
    <mergeCell ref="E331:G331"/>
    <mergeCell ref="H331:I331"/>
    <mergeCell ref="J331:K331"/>
    <mergeCell ref="L331:M331"/>
    <mergeCell ref="C328:D328"/>
    <mergeCell ref="E328:G328"/>
    <mergeCell ref="H328:I328"/>
    <mergeCell ref="J328:K328"/>
    <mergeCell ref="L328:M328"/>
    <mergeCell ref="E329:G329"/>
    <mergeCell ref="H329:I329"/>
    <mergeCell ref="J329:K329"/>
    <mergeCell ref="L329:M329"/>
    <mergeCell ref="C336:D336"/>
    <mergeCell ref="E336:G336"/>
    <mergeCell ref="H336:I336"/>
    <mergeCell ref="J336:K336"/>
    <mergeCell ref="L336:M336"/>
    <mergeCell ref="C332:D332"/>
    <mergeCell ref="C333:D333"/>
    <mergeCell ref="A330:M330"/>
    <mergeCell ref="C326:D326"/>
    <mergeCell ref="E326:G326"/>
    <mergeCell ref="H326:I326"/>
    <mergeCell ref="J326:K326"/>
    <mergeCell ref="L326:M326"/>
    <mergeCell ref="C327:D327"/>
    <mergeCell ref="E327:G327"/>
    <mergeCell ref="H327:I327"/>
    <mergeCell ref="J327:K327"/>
    <mergeCell ref="L327:M327"/>
    <mergeCell ref="C324:D324"/>
    <mergeCell ref="E324:G324"/>
    <mergeCell ref="H324:I324"/>
    <mergeCell ref="J324:K324"/>
    <mergeCell ref="L324:M324"/>
    <mergeCell ref="C325:D325"/>
    <mergeCell ref="E325:G325"/>
    <mergeCell ref="H325:I325"/>
    <mergeCell ref="J325:K325"/>
    <mergeCell ref="L325:M325"/>
    <mergeCell ref="H314:I314"/>
    <mergeCell ref="J314:K314"/>
    <mergeCell ref="L314:M314"/>
    <mergeCell ref="C315:D315"/>
    <mergeCell ref="E315:G315"/>
    <mergeCell ref="H315:I315"/>
    <mergeCell ref="J315:K315"/>
    <mergeCell ref="L315:M315"/>
    <mergeCell ref="C322:D322"/>
    <mergeCell ref="E322:G322"/>
    <mergeCell ref="H322:I322"/>
    <mergeCell ref="J322:K322"/>
    <mergeCell ref="L322:M322"/>
    <mergeCell ref="C323:D323"/>
    <mergeCell ref="E323:G323"/>
    <mergeCell ref="H323:I323"/>
    <mergeCell ref="J323:K323"/>
    <mergeCell ref="L323:M323"/>
    <mergeCell ref="C320:D320"/>
    <mergeCell ref="E320:G320"/>
    <mergeCell ref="H320:I320"/>
    <mergeCell ref="J320:K320"/>
    <mergeCell ref="L320:M320"/>
    <mergeCell ref="C321:D321"/>
    <mergeCell ref="E321:G321"/>
    <mergeCell ref="H321:I321"/>
    <mergeCell ref="J321:K321"/>
    <mergeCell ref="L321:M321"/>
    <mergeCell ref="J310:M310"/>
    <mergeCell ref="N310:Q355"/>
    <mergeCell ref="C311:D311"/>
    <mergeCell ref="E311:G311"/>
    <mergeCell ref="H311:I311"/>
    <mergeCell ref="J311:K311"/>
    <mergeCell ref="L311:M311"/>
    <mergeCell ref="A312:M312"/>
    <mergeCell ref="A307:D307"/>
    <mergeCell ref="E307:G307"/>
    <mergeCell ref="H307:I307"/>
    <mergeCell ref="J307:K307"/>
    <mergeCell ref="L307:M307"/>
    <mergeCell ref="A309:I309"/>
    <mergeCell ref="J309:M309"/>
    <mergeCell ref="C318:D318"/>
    <mergeCell ref="E318:G318"/>
    <mergeCell ref="H318:I318"/>
    <mergeCell ref="J318:K318"/>
    <mergeCell ref="L318:M318"/>
    <mergeCell ref="C319:D319"/>
    <mergeCell ref="E319:G319"/>
    <mergeCell ref="H319:I319"/>
    <mergeCell ref="J319:K319"/>
    <mergeCell ref="L319:M319"/>
    <mergeCell ref="C316:D316"/>
    <mergeCell ref="E316:G316"/>
    <mergeCell ref="H316:I316"/>
    <mergeCell ref="J316:K316"/>
    <mergeCell ref="L316:M316"/>
    <mergeCell ref="C314:D314"/>
    <mergeCell ref="E314:G314"/>
    <mergeCell ref="E306:G306"/>
    <mergeCell ref="H306:I306"/>
    <mergeCell ref="J306:K306"/>
    <mergeCell ref="L306:M306"/>
    <mergeCell ref="C303:D303"/>
    <mergeCell ref="E303:G303"/>
    <mergeCell ref="H303:I303"/>
    <mergeCell ref="J303:K303"/>
    <mergeCell ref="L303:M303"/>
    <mergeCell ref="A304:M304"/>
    <mergeCell ref="A301:M301"/>
    <mergeCell ref="C302:D302"/>
    <mergeCell ref="E302:G302"/>
    <mergeCell ref="H302:I302"/>
    <mergeCell ref="J302:K302"/>
    <mergeCell ref="L302:M302"/>
    <mergeCell ref="N309:Q309"/>
    <mergeCell ref="C299:D299"/>
    <mergeCell ref="E299:G299"/>
    <mergeCell ref="H299:I299"/>
    <mergeCell ref="J299:K299"/>
    <mergeCell ref="L299:M299"/>
    <mergeCell ref="A300:M300"/>
    <mergeCell ref="L296:M296"/>
    <mergeCell ref="A297:M297"/>
    <mergeCell ref="C298:D298"/>
    <mergeCell ref="E298:G298"/>
    <mergeCell ref="H298:I298"/>
    <mergeCell ref="J298:K298"/>
    <mergeCell ref="L298:M298"/>
    <mergeCell ref="L282:M282"/>
    <mergeCell ref="A294:I294"/>
    <mergeCell ref="J294:M294"/>
    <mergeCell ref="N294:Q294"/>
    <mergeCell ref="J295:M295"/>
    <mergeCell ref="N295:Q307"/>
    <mergeCell ref="C296:D296"/>
    <mergeCell ref="E296:G296"/>
    <mergeCell ref="H296:I296"/>
    <mergeCell ref="J296:K296"/>
    <mergeCell ref="A282:G282"/>
    <mergeCell ref="H282:I282"/>
    <mergeCell ref="J282:K282"/>
    <mergeCell ref="C305:D305"/>
    <mergeCell ref="E305:G305"/>
    <mergeCell ref="H305:I305"/>
    <mergeCell ref="J305:K305"/>
    <mergeCell ref="L305:M305"/>
    <mergeCell ref="C306:D306"/>
    <mergeCell ref="L279:M281"/>
    <mergeCell ref="A280:G280"/>
    <mergeCell ref="N273:Q273"/>
    <mergeCell ref="A274:I274"/>
    <mergeCell ref="J274:M274"/>
    <mergeCell ref="N274:Q281"/>
    <mergeCell ref="A275:G275"/>
    <mergeCell ref="H275:I275"/>
    <mergeCell ref="J275:K275"/>
    <mergeCell ref="L275:M275"/>
    <mergeCell ref="A276:G276"/>
    <mergeCell ref="H276:I276"/>
    <mergeCell ref="B271:C271"/>
    <mergeCell ref="D271:E271"/>
    <mergeCell ref="F271:G271"/>
    <mergeCell ref="H271:I271"/>
    <mergeCell ref="J271:K271"/>
    <mergeCell ref="A273:I273"/>
    <mergeCell ref="J273:M273"/>
    <mergeCell ref="N266:Q266"/>
    <mergeCell ref="J267:K268"/>
    <mergeCell ref="L267:M267"/>
    <mergeCell ref="N267:Q271"/>
    <mergeCell ref="B268:C268"/>
    <mergeCell ref="D268:E268"/>
    <mergeCell ref="F268:G268"/>
    <mergeCell ref="H268:I268"/>
    <mergeCell ref="B269:C269"/>
    <mergeCell ref="D269:E269"/>
    <mergeCell ref="B264:C264"/>
    <mergeCell ref="D264:F264"/>
    <mergeCell ref="J264:K264"/>
    <mergeCell ref="A266:I266"/>
    <mergeCell ref="J266:M266"/>
    <mergeCell ref="D262:F262"/>
    <mergeCell ref="J262:K262"/>
    <mergeCell ref="B263:C263"/>
    <mergeCell ref="D263:F263"/>
    <mergeCell ref="J263:K263"/>
    <mergeCell ref="N259:Q259"/>
    <mergeCell ref="J260:K261"/>
    <mergeCell ref="L260:M260"/>
    <mergeCell ref="N260:Q264"/>
    <mergeCell ref="B261:C261"/>
    <mergeCell ref="D261:F261"/>
    <mergeCell ref="B262:C262"/>
    <mergeCell ref="C256:D256"/>
    <mergeCell ref="E256:F256"/>
    <mergeCell ref="G256:I256"/>
    <mergeCell ref="J256:K256"/>
    <mergeCell ref="C257:D257"/>
    <mergeCell ref="E257:F257"/>
    <mergeCell ref="G257:I257"/>
    <mergeCell ref="J257:K257"/>
    <mergeCell ref="C254:D254"/>
    <mergeCell ref="E254:F254"/>
    <mergeCell ref="G254:I254"/>
    <mergeCell ref="J254:K254"/>
    <mergeCell ref="C255:D255"/>
    <mergeCell ref="E255:F255"/>
    <mergeCell ref="G255:I255"/>
    <mergeCell ref="J255:K255"/>
    <mergeCell ref="G252:I252"/>
    <mergeCell ref="J252:K252"/>
    <mergeCell ref="C253:D253"/>
    <mergeCell ref="E253:F253"/>
    <mergeCell ref="G253:I253"/>
    <mergeCell ref="J253:K253"/>
    <mergeCell ref="G244:I244"/>
    <mergeCell ref="J244:K244"/>
    <mergeCell ref="C245:D245"/>
    <mergeCell ref="C250:D250"/>
    <mergeCell ref="E250:F250"/>
    <mergeCell ref="G250:I250"/>
    <mergeCell ref="J250:K250"/>
    <mergeCell ref="C251:D251"/>
    <mergeCell ref="E251:F251"/>
    <mergeCell ref="G251:I251"/>
    <mergeCell ref="J251:K251"/>
    <mergeCell ref="C247:D247"/>
    <mergeCell ref="E247:F247"/>
    <mergeCell ref="G247:I247"/>
    <mergeCell ref="J247:K247"/>
    <mergeCell ref="A248:M248"/>
    <mergeCell ref="B249:B254"/>
    <mergeCell ref="C249:D249"/>
    <mergeCell ref="E249:F249"/>
    <mergeCell ref="G249:I249"/>
    <mergeCell ref="J249:K249"/>
    <mergeCell ref="A239:I239"/>
    <mergeCell ref="J239:M239"/>
    <mergeCell ref="N239:Q239"/>
    <mergeCell ref="J240:K241"/>
    <mergeCell ref="L240:M240"/>
    <mergeCell ref="N240:Q257"/>
    <mergeCell ref="C241:D241"/>
    <mergeCell ref="E241:F241"/>
    <mergeCell ref="G241:I241"/>
    <mergeCell ref="A242:M242"/>
    <mergeCell ref="A231:B231"/>
    <mergeCell ref="D236:E236"/>
    <mergeCell ref="H236:I236"/>
    <mergeCell ref="J236:K236"/>
    <mergeCell ref="A237:C237"/>
    <mergeCell ref="D237:E237"/>
    <mergeCell ref="H237:I237"/>
    <mergeCell ref="J237:K237"/>
    <mergeCell ref="E245:F245"/>
    <mergeCell ref="G245:I245"/>
    <mergeCell ref="J245:K245"/>
    <mergeCell ref="C246:D246"/>
    <mergeCell ref="E246:F246"/>
    <mergeCell ref="G246:I246"/>
    <mergeCell ref="J246:K246"/>
    <mergeCell ref="B243:B247"/>
    <mergeCell ref="C243:D243"/>
    <mergeCell ref="E243:F243"/>
    <mergeCell ref="G243:I243"/>
    <mergeCell ref="J243:K243"/>
    <mergeCell ref="C244:D244"/>
    <mergeCell ref="E244:F244"/>
    <mergeCell ref="F221:G221"/>
    <mergeCell ref="H221:I221"/>
    <mergeCell ref="J221:K221"/>
    <mergeCell ref="A222:B222"/>
    <mergeCell ref="D222:E222"/>
    <mergeCell ref="H222:I222"/>
    <mergeCell ref="J222:K222"/>
    <mergeCell ref="D219:E219"/>
    <mergeCell ref="H219:I219"/>
    <mergeCell ref="J219:K219"/>
    <mergeCell ref="D220:E220"/>
    <mergeCell ref="H220:I220"/>
    <mergeCell ref="J220:K220"/>
    <mergeCell ref="J216:K216"/>
    <mergeCell ref="H217:I217"/>
    <mergeCell ref="J217:K217"/>
    <mergeCell ref="D218:E218"/>
    <mergeCell ref="F218:G218"/>
    <mergeCell ref="H218:I218"/>
    <mergeCell ref="J218:K218"/>
    <mergeCell ref="A202:B202"/>
    <mergeCell ref="D202:E202"/>
    <mergeCell ref="H202:I202"/>
    <mergeCell ref="J202:K202"/>
    <mergeCell ref="A203:B203"/>
    <mergeCell ref="D203:E203"/>
    <mergeCell ref="H203:I203"/>
    <mergeCell ref="J203:K203"/>
    <mergeCell ref="A209:B209"/>
    <mergeCell ref="D209:E209"/>
    <mergeCell ref="H209:I209"/>
    <mergeCell ref="J209:K209"/>
    <mergeCell ref="A210:B210"/>
    <mergeCell ref="D210:E210"/>
    <mergeCell ref="H210:I210"/>
    <mergeCell ref="J210:K210"/>
    <mergeCell ref="A207:B207"/>
    <mergeCell ref="D207:E207"/>
    <mergeCell ref="H207:I207"/>
    <mergeCell ref="J207:K207"/>
    <mergeCell ref="A208:B208"/>
    <mergeCell ref="D208:E208"/>
    <mergeCell ref="F208:G208"/>
    <mergeCell ref="H208:I208"/>
    <mergeCell ref="J208:K208"/>
    <mergeCell ref="A197:B197"/>
    <mergeCell ref="D197:E197"/>
    <mergeCell ref="H197:I197"/>
    <mergeCell ref="J197:K197"/>
    <mergeCell ref="A201:B201"/>
    <mergeCell ref="D201:E201"/>
    <mergeCell ref="H201:I201"/>
    <mergeCell ref="J201:K201"/>
    <mergeCell ref="A198:B198"/>
    <mergeCell ref="A196:B196"/>
    <mergeCell ref="D196:E196"/>
    <mergeCell ref="F196:G196"/>
    <mergeCell ref="H196:I196"/>
    <mergeCell ref="J196:K196"/>
    <mergeCell ref="J193:M193"/>
    <mergeCell ref="N193:Q193"/>
    <mergeCell ref="J194:K195"/>
    <mergeCell ref="N194:Q237"/>
    <mergeCell ref="A193:B195"/>
    <mergeCell ref="C193:C195"/>
    <mergeCell ref="D193:E195"/>
    <mergeCell ref="F193:F195"/>
    <mergeCell ref="G193:G195"/>
    <mergeCell ref="H193:I195"/>
    <mergeCell ref="A205:B205"/>
    <mergeCell ref="D205:E205"/>
    <mergeCell ref="H205:I205"/>
    <mergeCell ref="J205:K205"/>
    <mergeCell ref="A206:B206"/>
    <mergeCell ref="D206:E206"/>
    <mergeCell ref="H206:I206"/>
    <mergeCell ref="J206:K206"/>
    <mergeCell ref="A189:H189"/>
    <mergeCell ref="J189:K189"/>
    <mergeCell ref="A190:H190"/>
    <mergeCell ref="J190:K190"/>
    <mergeCell ref="A183:Q183"/>
    <mergeCell ref="A185:H185"/>
    <mergeCell ref="J185:K185"/>
    <mergeCell ref="A186:H186"/>
    <mergeCell ref="J186:K186"/>
    <mergeCell ref="H179:I179"/>
    <mergeCell ref="J179:K179"/>
    <mergeCell ref="H180:I180"/>
    <mergeCell ref="J180:K180"/>
    <mergeCell ref="A181:D181"/>
    <mergeCell ref="H181:I181"/>
    <mergeCell ref="J181:K181"/>
    <mergeCell ref="A171:C171"/>
    <mergeCell ref="F171:G171"/>
    <mergeCell ref="H171:I171"/>
    <mergeCell ref="J171:K171"/>
    <mergeCell ref="A173:I173"/>
    <mergeCell ref="J173:M173"/>
    <mergeCell ref="H177:I177"/>
    <mergeCell ref="J177:K177"/>
    <mergeCell ref="A188:H188"/>
    <mergeCell ref="J188:K188"/>
    <mergeCell ref="F168:G168"/>
    <mergeCell ref="H168:I168"/>
    <mergeCell ref="J168:K168"/>
    <mergeCell ref="B169:B170"/>
    <mergeCell ref="F169:G169"/>
    <mergeCell ref="H169:I169"/>
    <mergeCell ref="J169:K169"/>
    <mergeCell ref="F170:G170"/>
    <mergeCell ref="H170:I170"/>
    <mergeCell ref="J170:K170"/>
    <mergeCell ref="A187:H187"/>
    <mergeCell ref="J187:K187"/>
    <mergeCell ref="N162:Q162"/>
    <mergeCell ref="J163:K164"/>
    <mergeCell ref="L163:M163"/>
    <mergeCell ref="N163:Q171"/>
    <mergeCell ref="F164:G164"/>
    <mergeCell ref="H164:I164"/>
    <mergeCell ref="F165:G165"/>
    <mergeCell ref="H165:I165"/>
    <mergeCell ref="N173:Q173"/>
    <mergeCell ref="J174:K175"/>
    <mergeCell ref="L174:M174"/>
    <mergeCell ref="N174:Q181"/>
    <mergeCell ref="H175:I175"/>
    <mergeCell ref="H176:I176"/>
    <mergeCell ref="J176:K176"/>
    <mergeCell ref="H178:I178"/>
    <mergeCell ref="J178:K178"/>
    <mergeCell ref="G157:H157"/>
    <mergeCell ref="I157:J157"/>
    <mergeCell ref="E158:F158"/>
    <mergeCell ref="G158:H158"/>
    <mergeCell ref="I158:J158"/>
    <mergeCell ref="E155:F155"/>
    <mergeCell ref="G155:H155"/>
    <mergeCell ref="I155:J155"/>
    <mergeCell ref="E156:F156"/>
    <mergeCell ref="G156:H156"/>
    <mergeCell ref="I156:J156"/>
    <mergeCell ref="J165:K165"/>
    <mergeCell ref="F166:G166"/>
    <mergeCell ref="H166:I166"/>
    <mergeCell ref="J166:K166"/>
    <mergeCell ref="F167:G167"/>
    <mergeCell ref="H167:I167"/>
    <mergeCell ref="J167:K167"/>
    <mergeCell ref="A162:I162"/>
    <mergeCell ref="J162:M162"/>
    <mergeCell ref="E153:F153"/>
    <mergeCell ref="G153:H153"/>
    <mergeCell ref="I153:J153"/>
    <mergeCell ref="E154:F154"/>
    <mergeCell ref="G154:H154"/>
    <mergeCell ref="I154:J154"/>
    <mergeCell ref="G150:H150"/>
    <mergeCell ref="I150:J150"/>
    <mergeCell ref="E151:F151"/>
    <mergeCell ref="G151:H151"/>
    <mergeCell ref="I151:J151"/>
    <mergeCell ref="E152:F152"/>
    <mergeCell ref="G152:H152"/>
    <mergeCell ref="I152:J152"/>
    <mergeCell ref="A147:J147"/>
    <mergeCell ref="K147:M147"/>
    <mergeCell ref="N147:Q147"/>
    <mergeCell ref="K148:K149"/>
    <mergeCell ref="L148:M148"/>
    <mergeCell ref="N148:Q160"/>
    <mergeCell ref="E149:F149"/>
    <mergeCell ref="G149:H149"/>
    <mergeCell ref="I149:J149"/>
    <mergeCell ref="E150:F150"/>
    <mergeCell ref="E159:F159"/>
    <mergeCell ref="G159:H159"/>
    <mergeCell ref="I159:J159"/>
    <mergeCell ref="A160:C160"/>
    <mergeCell ref="E160:F160"/>
    <mergeCell ref="G160:H160"/>
    <mergeCell ref="I160:J160"/>
    <mergeCell ref="E157:F157"/>
    <mergeCell ref="K143:L143"/>
    <mergeCell ref="C144:D144"/>
    <mergeCell ref="E144:G144"/>
    <mergeCell ref="K144:L144"/>
    <mergeCell ref="C145:D145"/>
    <mergeCell ref="E145:G145"/>
    <mergeCell ref="K145:L145"/>
    <mergeCell ref="O140:Q140"/>
    <mergeCell ref="K141:L142"/>
    <mergeCell ref="M141:N141"/>
    <mergeCell ref="O141:Q145"/>
    <mergeCell ref="C142:D142"/>
    <mergeCell ref="E142:G142"/>
    <mergeCell ref="C143:D143"/>
    <mergeCell ref="E143:G143"/>
    <mergeCell ref="A138:C138"/>
    <mergeCell ref="E138:F138"/>
    <mergeCell ref="G138:H138"/>
    <mergeCell ref="I138:J138"/>
    <mergeCell ref="K138:L138"/>
    <mergeCell ref="A140:J140"/>
    <mergeCell ref="K140:N140"/>
    <mergeCell ref="A136:B136"/>
    <mergeCell ref="E136:F136"/>
    <mergeCell ref="G136:H136"/>
    <mergeCell ref="I136:J136"/>
    <mergeCell ref="K136:L136"/>
    <mergeCell ref="A137:B137"/>
    <mergeCell ref="E137:F137"/>
    <mergeCell ref="G137:H137"/>
    <mergeCell ref="I137:J137"/>
    <mergeCell ref="K137:L137"/>
    <mergeCell ref="A134:B134"/>
    <mergeCell ref="E134:F134"/>
    <mergeCell ref="G134:H134"/>
    <mergeCell ref="I134:J134"/>
    <mergeCell ref="K134:L134"/>
    <mergeCell ref="A135:B135"/>
    <mergeCell ref="E135:F135"/>
    <mergeCell ref="G135:H135"/>
    <mergeCell ref="I135:J135"/>
    <mergeCell ref="K135:L135"/>
    <mergeCell ref="A131:B131"/>
    <mergeCell ref="E131:F131"/>
    <mergeCell ref="G131:H131"/>
    <mergeCell ref="I131:J131"/>
    <mergeCell ref="K131:L131"/>
    <mergeCell ref="A132:B132"/>
    <mergeCell ref="E132:F132"/>
    <mergeCell ref="G132:H132"/>
    <mergeCell ref="I132:J132"/>
    <mergeCell ref="K132:L132"/>
    <mergeCell ref="A129:B129"/>
    <mergeCell ref="E129:F129"/>
    <mergeCell ref="G129:H129"/>
    <mergeCell ref="I129:J129"/>
    <mergeCell ref="K129:L129"/>
    <mergeCell ref="A130:B130"/>
    <mergeCell ref="E130:F130"/>
    <mergeCell ref="G130:H130"/>
    <mergeCell ref="I130:J130"/>
    <mergeCell ref="K130:L130"/>
    <mergeCell ref="A127:B127"/>
    <mergeCell ref="E127:F127"/>
    <mergeCell ref="G127:H127"/>
    <mergeCell ref="I127:J127"/>
    <mergeCell ref="K127:L127"/>
    <mergeCell ref="A128:B128"/>
    <mergeCell ref="E128:F128"/>
    <mergeCell ref="G128:H128"/>
    <mergeCell ref="I128:J128"/>
    <mergeCell ref="K128:L128"/>
    <mergeCell ref="A124:N124"/>
    <mergeCell ref="A125:B126"/>
    <mergeCell ref="C125:C126"/>
    <mergeCell ref="D125:D126"/>
    <mergeCell ref="E125:F126"/>
    <mergeCell ref="G125:H126"/>
    <mergeCell ref="I125:J126"/>
    <mergeCell ref="K125:L126"/>
    <mergeCell ref="M125:M126"/>
    <mergeCell ref="N125:N126"/>
    <mergeCell ref="A122:B122"/>
    <mergeCell ref="E122:F122"/>
    <mergeCell ref="G122:H122"/>
    <mergeCell ref="I122:J122"/>
    <mergeCell ref="K122:L122"/>
    <mergeCell ref="A123:B123"/>
    <mergeCell ref="E123:F123"/>
    <mergeCell ref="G123:H123"/>
    <mergeCell ref="I123:J123"/>
    <mergeCell ref="K123:L123"/>
    <mergeCell ref="A120:B120"/>
    <mergeCell ref="E120:F120"/>
    <mergeCell ref="G120:H120"/>
    <mergeCell ref="I120:J120"/>
    <mergeCell ref="K120:L120"/>
    <mergeCell ref="A121:B121"/>
    <mergeCell ref="E121:F121"/>
    <mergeCell ref="G121:H121"/>
    <mergeCell ref="I121:J121"/>
    <mergeCell ref="K121:L121"/>
    <mergeCell ref="A118:B118"/>
    <mergeCell ref="E118:F118"/>
    <mergeCell ref="G118:H118"/>
    <mergeCell ref="I118:J118"/>
    <mergeCell ref="K118:L118"/>
    <mergeCell ref="A119:B119"/>
    <mergeCell ref="E119:F119"/>
    <mergeCell ref="G119:H119"/>
    <mergeCell ref="I119:J119"/>
    <mergeCell ref="K119:L119"/>
    <mergeCell ref="A116:B116"/>
    <mergeCell ref="E116:F116"/>
    <mergeCell ref="G116:H116"/>
    <mergeCell ref="I116:J116"/>
    <mergeCell ref="K116:L116"/>
    <mergeCell ref="A117:B117"/>
    <mergeCell ref="E117:F117"/>
    <mergeCell ref="G117:H117"/>
    <mergeCell ref="I117:J117"/>
    <mergeCell ref="K117:L117"/>
    <mergeCell ref="K109:L109"/>
    <mergeCell ref="A105:J105"/>
    <mergeCell ref="K105:N105"/>
    <mergeCell ref="A114:B114"/>
    <mergeCell ref="E114:F114"/>
    <mergeCell ref="G114:H114"/>
    <mergeCell ref="I114:J114"/>
    <mergeCell ref="K114:L114"/>
    <mergeCell ref="A115:B115"/>
    <mergeCell ref="E115:F115"/>
    <mergeCell ref="G115:H115"/>
    <mergeCell ref="I115:J115"/>
    <mergeCell ref="K115:L115"/>
    <mergeCell ref="A112:B112"/>
    <mergeCell ref="E112:F112"/>
    <mergeCell ref="G112:H112"/>
    <mergeCell ref="I112:J112"/>
    <mergeCell ref="K112:L112"/>
    <mergeCell ref="A113:B113"/>
    <mergeCell ref="E113:F113"/>
    <mergeCell ref="G113:H113"/>
    <mergeCell ref="I113:J113"/>
    <mergeCell ref="K113:L113"/>
    <mergeCell ref="O105:Q105"/>
    <mergeCell ref="K106:L107"/>
    <mergeCell ref="M106:N106"/>
    <mergeCell ref="O106:Q138"/>
    <mergeCell ref="A107:B107"/>
    <mergeCell ref="E107:F107"/>
    <mergeCell ref="G107:H107"/>
    <mergeCell ref="I107:J107"/>
    <mergeCell ref="H102:I102"/>
    <mergeCell ref="J102:K102"/>
    <mergeCell ref="H103:I103"/>
    <mergeCell ref="J103:K103"/>
    <mergeCell ref="H98:I99"/>
    <mergeCell ref="L98:L99"/>
    <mergeCell ref="M98:M99"/>
    <mergeCell ref="H101:I101"/>
    <mergeCell ref="J101:K101"/>
    <mergeCell ref="A110:B110"/>
    <mergeCell ref="E110:F110"/>
    <mergeCell ref="G110:H110"/>
    <mergeCell ref="I110:J110"/>
    <mergeCell ref="K110:L110"/>
    <mergeCell ref="A111:B111"/>
    <mergeCell ref="E111:F111"/>
    <mergeCell ref="G111:H111"/>
    <mergeCell ref="I111:J111"/>
    <mergeCell ref="K111:L111"/>
    <mergeCell ref="A108:N108"/>
    <mergeCell ref="A109:B109"/>
    <mergeCell ref="E109:F109"/>
    <mergeCell ref="G109:H109"/>
    <mergeCell ref="I109:J109"/>
    <mergeCell ref="A84:B84"/>
    <mergeCell ref="F84:G84"/>
    <mergeCell ref="H84:I84"/>
    <mergeCell ref="J84:K84"/>
    <mergeCell ref="A96:I96"/>
    <mergeCell ref="J96:M96"/>
    <mergeCell ref="N96:Q96"/>
    <mergeCell ref="J97:K99"/>
    <mergeCell ref="L97:M97"/>
    <mergeCell ref="N97:Q103"/>
    <mergeCell ref="A98:A99"/>
    <mergeCell ref="B98:B99"/>
    <mergeCell ref="D98:D99"/>
    <mergeCell ref="A92:E92"/>
    <mergeCell ref="H92:I92"/>
    <mergeCell ref="A93:E93"/>
    <mergeCell ref="H93:I93"/>
    <mergeCell ref="A94:E94"/>
    <mergeCell ref="H94:I94"/>
    <mergeCell ref="A88:I88"/>
    <mergeCell ref="A89:E89"/>
    <mergeCell ref="H89:I89"/>
    <mergeCell ref="A90:E90"/>
    <mergeCell ref="H90:I90"/>
    <mergeCell ref="A91:E91"/>
    <mergeCell ref="H91:I91"/>
    <mergeCell ref="H100:I100"/>
    <mergeCell ref="J100:K100"/>
    <mergeCell ref="C98:C99"/>
    <mergeCell ref="F98:F99"/>
    <mergeCell ref="A81:B81"/>
    <mergeCell ref="F81:G81"/>
    <mergeCell ref="H81:I81"/>
    <mergeCell ref="J81:K81"/>
    <mergeCell ref="A82:B82"/>
    <mergeCell ref="F82:G82"/>
    <mergeCell ref="H82:I82"/>
    <mergeCell ref="J82:K82"/>
    <mergeCell ref="F79:G79"/>
    <mergeCell ref="H79:I79"/>
    <mergeCell ref="J79:K79"/>
    <mergeCell ref="A80:B80"/>
    <mergeCell ref="F80:G80"/>
    <mergeCell ref="H80:I80"/>
    <mergeCell ref="J80:K80"/>
    <mergeCell ref="N76:Q76"/>
    <mergeCell ref="J77:K78"/>
    <mergeCell ref="L77:M77"/>
    <mergeCell ref="N77:Q86"/>
    <mergeCell ref="A78:B78"/>
    <mergeCell ref="F78:G78"/>
    <mergeCell ref="H78:I78"/>
    <mergeCell ref="A79:B79"/>
    <mergeCell ref="A85:B85"/>
    <mergeCell ref="F85:G85"/>
    <mergeCell ref="H85:I85"/>
    <mergeCell ref="J85:K85"/>
    <mergeCell ref="A86:B86"/>
    <mergeCell ref="F86:G86"/>
    <mergeCell ref="H86:I86"/>
    <mergeCell ref="J86:K86"/>
    <mergeCell ref="A83:B83"/>
    <mergeCell ref="D73:E73"/>
    <mergeCell ref="F73:G73"/>
    <mergeCell ref="H73:I73"/>
    <mergeCell ref="J73:K73"/>
    <mergeCell ref="A71:B71"/>
    <mergeCell ref="C71:C73"/>
    <mergeCell ref="D71:E71"/>
    <mergeCell ref="F71:G71"/>
    <mergeCell ref="H71:I71"/>
    <mergeCell ref="J71:K71"/>
    <mergeCell ref="A72:B72"/>
    <mergeCell ref="D72:E72"/>
    <mergeCell ref="F72:G72"/>
    <mergeCell ref="H72:I72"/>
    <mergeCell ref="N66:Q66"/>
    <mergeCell ref="J67:K68"/>
    <mergeCell ref="L67:M67"/>
    <mergeCell ref="N67:Q74"/>
    <mergeCell ref="A68:B68"/>
    <mergeCell ref="D68:E68"/>
    <mergeCell ref="A62:B62"/>
    <mergeCell ref="A51:B51"/>
    <mergeCell ref="A52:B52"/>
    <mergeCell ref="A53:B53"/>
    <mergeCell ref="A54:B54"/>
    <mergeCell ref="A55:B55"/>
    <mergeCell ref="A56:B56"/>
    <mergeCell ref="J69:K69"/>
    <mergeCell ref="A70:B70"/>
    <mergeCell ref="D70:E70"/>
    <mergeCell ref="F70:G70"/>
    <mergeCell ref="H70:I70"/>
    <mergeCell ref="J70:K70"/>
    <mergeCell ref="F68:G68"/>
    <mergeCell ref="H68:I68"/>
    <mergeCell ref="A69:B69"/>
    <mergeCell ref="C69:C70"/>
    <mergeCell ref="D69:E69"/>
    <mergeCell ref="F69:G69"/>
    <mergeCell ref="H69:I69"/>
    <mergeCell ref="A63:B63"/>
    <mergeCell ref="I36:K36"/>
    <mergeCell ref="L36:M36"/>
    <mergeCell ref="N36:Q64"/>
    <mergeCell ref="A37:B38"/>
    <mergeCell ref="C37:C38"/>
    <mergeCell ref="D37:D38"/>
    <mergeCell ref="A28:G28"/>
    <mergeCell ref="A29:G29"/>
    <mergeCell ref="A30:G30"/>
    <mergeCell ref="A42:B42"/>
    <mergeCell ref="A43:B43"/>
    <mergeCell ref="A44:B44"/>
    <mergeCell ref="A45:B45"/>
    <mergeCell ref="A49:B49"/>
    <mergeCell ref="A50:B50"/>
    <mergeCell ref="M37:M38"/>
    <mergeCell ref="A39:B39"/>
    <mergeCell ref="K39:K41"/>
    <mergeCell ref="A40:B40"/>
    <mergeCell ref="A41:B41"/>
    <mergeCell ref="E37:E38"/>
    <mergeCell ref="F37:H37"/>
    <mergeCell ref="I37:I38"/>
    <mergeCell ref="J37:J38"/>
    <mergeCell ref="K37:K38"/>
    <mergeCell ref="L37:L38"/>
    <mergeCell ref="A64:B64"/>
    <mergeCell ref="A57:B57"/>
    <mergeCell ref="A58:B58"/>
    <mergeCell ref="A59:B59"/>
    <mergeCell ref="A60:B60"/>
    <mergeCell ref="A61:B61"/>
    <mergeCell ref="A26:G26"/>
    <mergeCell ref="A20:G20"/>
    <mergeCell ref="A21:G21"/>
    <mergeCell ref="A25:G25"/>
    <mergeCell ref="A24:G24"/>
    <mergeCell ref="B15:G15"/>
    <mergeCell ref="H15:I15"/>
    <mergeCell ref="B16:G16"/>
    <mergeCell ref="H16:I16"/>
    <mergeCell ref="B18:G18"/>
    <mergeCell ref="H18:I18"/>
    <mergeCell ref="B17:G17"/>
    <mergeCell ref="H17:I17"/>
    <mergeCell ref="A19:G19"/>
    <mergeCell ref="A33:Q33"/>
    <mergeCell ref="A35:H35"/>
    <mergeCell ref="I35:M35"/>
    <mergeCell ref="N35:Q35"/>
    <mergeCell ref="A27:G27"/>
    <mergeCell ref="M17:P18"/>
    <mergeCell ref="Q17:R17"/>
    <mergeCell ref="A22:G22"/>
    <mergeCell ref="A23:G23"/>
    <mergeCell ref="B12:G12"/>
    <mergeCell ref="H12:I12"/>
    <mergeCell ref="B13:G13"/>
    <mergeCell ref="H13:I13"/>
    <mergeCell ref="B14:G14"/>
    <mergeCell ref="H14:I14"/>
    <mergeCell ref="B9:G9"/>
    <mergeCell ref="H9:I9"/>
    <mergeCell ref="B10:G10"/>
    <mergeCell ref="H10:I10"/>
    <mergeCell ref="B11:G11"/>
    <mergeCell ref="H11:I11"/>
    <mergeCell ref="A1:I1"/>
    <mergeCell ref="A2:I2"/>
    <mergeCell ref="H3:I3"/>
    <mergeCell ref="A4:A5"/>
    <mergeCell ref="B4:B5"/>
    <mergeCell ref="A7:I7"/>
    <mergeCell ref="H200:I200"/>
    <mergeCell ref="J276:K276"/>
    <mergeCell ref="J277:K277"/>
    <mergeCell ref="J278:K278"/>
    <mergeCell ref="J279:K279"/>
    <mergeCell ref="J280:K280"/>
    <mergeCell ref="J281:K281"/>
    <mergeCell ref="H340:I340"/>
    <mergeCell ref="J340:K340"/>
    <mergeCell ref="L340:M340"/>
    <mergeCell ref="H341:I341"/>
    <mergeCell ref="J341:K341"/>
    <mergeCell ref="L341:M341"/>
    <mergeCell ref="H342:I342"/>
    <mergeCell ref="J342:K342"/>
    <mergeCell ref="L342:M342"/>
    <mergeCell ref="F440:G440"/>
    <mergeCell ref="L344:M344"/>
    <mergeCell ref="L345:M345"/>
    <mergeCell ref="L346:M346"/>
    <mergeCell ref="E347:G347"/>
    <mergeCell ref="H347:I347"/>
    <mergeCell ref="J347:K347"/>
    <mergeCell ref="L347:M347"/>
    <mergeCell ref="E332:G332"/>
    <mergeCell ref="H332:I332"/>
    <mergeCell ref="J332:K332"/>
    <mergeCell ref="L332:M332"/>
    <mergeCell ref="E333:G333"/>
    <mergeCell ref="H333:I333"/>
    <mergeCell ref="J333:K333"/>
    <mergeCell ref="L333:M333"/>
    <mergeCell ref="B441:C441"/>
    <mergeCell ref="F441:G441"/>
    <mergeCell ref="B442:C442"/>
    <mergeCell ref="F442:G442"/>
    <mergeCell ref="B443:C443"/>
    <mergeCell ref="F443:G443"/>
    <mergeCell ref="B444:C444"/>
    <mergeCell ref="F444:G444"/>
    <mergeCell ref="H204:I204"/>
    <mergeCell ref="D213:E213"/>
    <mergeCell ref="F213:G213"/>
    <mergeCell ref="H213:I213"/>
    <mergeCell ref="J213:K213"/>
    <mergeCell ref="D214:E217"/>
    <mergeCell ref="H214:I214"/>
    <mergeCell ref="J214:K214"/>
    <mergeCell ref="H215:I215"/>
    <mergeCell ref="J215:K215"/>
    <mergeCell ref="H216:I216"/>
    <mergeCell ref="A354:D354"/>
    <mergeCell ref="A329:D329"/>
    <mergeCell ref="E344:G344"/>
    <mergeCell ref="H344:I344"/>
    <mergeCell ref="J344:K344"/>
    <mergeCell ref="C345:D345"/>
    <mergeCell ref="E345:G345"/>
    <mergeCell ref="H345:I345"/>
    <mergeCell ref="J345:K345"/>
    <mergeCell ref="C346:D346"/>
    <mergeCell ref="E346:G346"/>
    <mergeCell ref="H346:I346"/>
    <mergeCell ref="J346:K346"/>
    <mergeCell ref="B445:C445"/>
    <mergeCell ref="F445:G445"/>
    <mergeCell ref="H437:I437"/>
    <mergeCell ref="J437:K437"/>
    <mergeCell ref="L437:Q437"/>
    <mergeCell ref="H438:I438"/>
    <mergeCell ref="J438:K438"/>
    <mergeCell ref="L438:Q438"/>
    <mergeCell ref="H439:I439"/>
    <mergeCell ref="J439:K439"/>
    <mergeCell ref="L439:Q439"/>
    <mergeCell ref="H440:I440"/>
    <mergeCell ref="J440:K440"/>
    <mergeCell ref="L440:Q440"/>
    <mergeCell ref="H441:I441"/>
    <mergeCell ref="J441:K441"/>
    <mergeCell ref="L441:Q441"/>
    <mergeCell ref="H442:I442"/>
    <mergeCell ref="J442:K442"/>
    <mergeCell ref="L442:Q442"/>
    <mergeCell ref="H443:I443"/>
    <mergeCell ref="J443:K443"/>
    <mergeCell ref="L443:Q443"/>
    <mergeCell ref="H444:I444"/>
    <mergeCell ref="J444:K444"/>
    <mergeCell ref="L444:Q444"/>
    <mergeCell ref="H445:I445"/>
    <mergeCell ref="J445:K445"/>
    <mergeCell ref="L445:Q445"/>
    <mergeCell ref="B439:C439"/>
    <mergeCell ref="F439:G439"/>
    <mergeCell ref="B440:C440"/>
    <mergeCell ref="F450:G450"/>
    <mergeCell ref="H450:I450"/>
    <mergeCell ref="J450:K450"/>
    <mergeCell ref="L450:Q450"/>
    <mergeCell ref="A450:E450"/>
    <mergeCell ref="A435:E435"/>
    <mergeCell ref="F435:G435"/>
    <mergeCell ref="H435:I435"/>
    <mergeCell ref="J435:K435"/>
    <mergeCell ref="L435:Q435"/>
    <mergeCell ref="A451:E451"/>
    <mergeCell ref="F451:G451"/>
    <mergeCell ref="H451:I451"/>
    <mergeCell ref="J451:K451"/>
    <mergeCell ref="L451:Q451"/>
    <mergeCell ref="J446:K446"/>
    <mergeCell ref="L446:Q446"/>
    <mergeCell ref="B447:C447"/>
    <mergeCell ref="F447:G447"/>
    <mergeCell ref="H447:I447"/>
    <mergeCell ref="J447:K447"/>
    <mergeCell ref="L447:Q447"/>
    <mergeCell ref="B448:C448"/>
    <mergeCell ref="F448:G448"/>
    <mergeCell ref="H448:I448"/>
    <mergeCell ref="J448:K448"/>
    <mergeCell ref="L448:Q448"/>
    <mergeCell ref="B449:C449"/>
    <mergeCell ref="F449:G449"/>
    <mergeCell ref="H449:I449"/>
    <mergeCell ref="J449:K449"/>
    <mergeCell ref="L449:Q449"/>
  </mergeCells>
  <conditionalFormatting sqref="H14:I14">
    <cfRule type="cellIs" dxfId="169" priority="151" operator="notEqual">
      <formula>$H$9</formula>
    </cfRule>
  </conditionalFormatting>
  <conditionalFormatting sqref="H74:I74 M74">
    <cfRule type="cellIs" dxfId="168" priority="150" operator="greaterThan">
      <formula>$C$74</formula>
    </cfRule>
  </conditionalFormatting>
  <conditionalFormatting sqref="M64">
    <cfRule type="cellIs" dxfId="167" priority="149" operator="greaterThan">
      <formula>$K$64</formula>
    </cfRule>
  </conditionalFormatting>
  <conditionalFormatting sqref="I160:J160 M160">
    <cfRule type="cellIs" dxfId="166" priority="145" operator="greaterThan">
      <formula>$D$160</formula>
    </cfRule>
  </conditionalFormatting>
  <conditionalFormatting sqref="I152:J152">
    <cfRule type="cellIs" dxfId="165" priority="144" operator="greaterThan">
      <formula>$D$152</formula>
    </cfRule>
  </conditionalFormatting>
  <conditionalFormatting sqref="I153:J153">
    <cfRule type="cellIs" dxfId="164" priority="143" operator="greaterThan">
      <formula>$D$153</formula>
    </cfRule>
  </conditionalFormatting>
  <conditionalFormatting sqref="I154:J154">
    <cfRule type="cellIs" dxfId="163" priority="142" operator="greaterThan">
      <formula>$D$154</formula>
    </cfRule>
  </conditionalFormatting>
  <conditionalFormatting sqref="I157:J157">
    <cfRule type="cellIs" dxfId="162" priority="141" operator="greaterThan">
      <formula>$D$157</formula>
    </cfRule>
  </conditionalFormatting>
  <conditionalFormatting sqref="H167:I167 M165:M167">
    <cfRule type="cellIs" dxfId="161" priority="140" operator="greaterThan">
      <formula>$D$167</formula>
    </cfRule>
  </conditionalFormatting>
  <conditionalFormatting sqref="H168:I168 M168">
    <cfRule type="cellIs" dxfId="160" priority="139" operator="greaterThan">
      <formula>$D$168</formula>
    </cfRule>
  </conditionalFormatting>
  <conditionalFormatting sqref="H176:I176">
    <cfRule type="cellIs" dxfId="159" priority="138" operator="greaterThan">
      <formula>$E$176</formula>
    </cfRule>
  </conditionalFormatting>
  <conditionalFormatting sqref="H181:I181">
    <cfRule type="cellIs" dxfId="158" priority="137" operator="greaterThan">
      <formula>$E$181</formula>
    </cfRule>
  </conditionalFormatting>
  <conditionalFormatting sqref="G257:I257 M257">
    <cfRule type="cellIs" dxfId="157" priority="133" operator="greaterThan">
      <formula>$B$257</formula>
    </cfRule>
  </conditionalFormatting>
  <conditionalFormatting sqref="H336:I336">
    <cfRule type="cellIs" dxfId="156" priority="130" operator="greaterThan">
      <formula>$E$336</formula>
    </cfRule>
    <cfRule type="cellIs" dxfId="155" priority="132" operator="greaterThan">
      <formula>120000</formula>
    </cfRule>
  </conditionalFormatting>
  <conditionalFormatting sqref="C336:D336">
    <cfRule type="expression" dxfId="154" priority="90">
      <formula>SUM($B$336:$D$336)&gt;$B$167</formula>
    </cfRule>
    <cfRule type="expression" dxfId="153" priority="131">
      <formula>SUM($B$336:$D$336)&gt;2</formula>
    </cfRule>
  </conditionalFormatting>
  <conditionalFormatting sqref="L336:M336">
    <cfRule type="cellIs" dxfId="152" priority="129" operator="greaterThan">
      <formula>$E$336</formula>
    </cfRule>
  </conditionalFormatting>
  <conditionalFormatting sqref="H337:I337 H318:I327 L318:M328">
    <cfRule type="cellIs" dxfId="151" priority="128" operator="greaterThan">
      <formula>$E$337</formula>
    </cfRule>
  </conditionalFormatting>
  <conditionalFormatting sqref="L337:M337">
    <cfRule type="cellIs" dxfId="150" priority="127" operator="greaterThan">
      <formula>$E$337</formula>
    </cfRule>
  </conditionalFormatting>
  <conditionalFormatting sqref="L338:M338">
    <cfRule type="cellIs" dxfId="149" priority="126" operator="greaterThan">
      <formula>$E$338</formula>
    </cfRule>
  </conditionalFormatting>
  <conditionalFormatting sqref="C339:D339">
    <cfRule type="expression" dxfId="148" priority="125">
      <formula>SUM($B$339+$C$339)&gt;1</formula>
    </cfRule>
  </conditionalFormatting>
  <conditionalFormatting sqref="H339:I339">
    <cfRule type="cellIs" dxfId="147" priority="124" operator="greaterThan">
      <formula>$E$339</formula>
    </cfRule>
  </conditionalFormatting>
  <conditionalFormatting sqref="L339:M339">
    <cfRule type="cellIs" dxfId="146" priority="123" operator="greaterThan">
      <formula>$E$339</formula>
    </cfRule>
  </conditionalFormatting>
  <conditionalFormatting sqref="C348:D348">
    <cfRule type="expression" dxfId="145" priority="122">
      <formula>SUM($B$348+$C$348)&gt;1</formula>
    </cfRule>
  </conditionalFormatting>
  <conditionalFormatting sqref="H348:I348">
    <cfRule type="cellIs" dxfId="144" priority="121" operator="greaterThan">
      <formula>$E$348</formula>
    </cfRule>
  </conditionalFormatting>
  <conditionalFormatting sqref="L348:M348">
    <cfRule type="cellIs" dxfId="143" priority="120" operator="greaterThan">
      <formula>$E$348</formula>
    </cfRule>
  </conditionalFormatting>
  <conditionalFormatting sqref="H349:I349">
    <cfRule type="cellIs" dxfId="142" priority="119" operator="greaterThan">
      <formula>$E$349</formula>
    </cfRule>
  </conditionalFormatting>
  <conditionalFormatting sqref="L349:M349">
    <cfRule type="cellIs" dxfId="141" priority="118" operator="greaterThan">
      <formula>$E$349</formula>
    </cfRule>
  </conditionalFormatting>
  <conditionalFormatting sqref="C350:D350">
    <cfRule type="expression" dxfId="140" priority="117">
      <formula>SUM($B$350+$C$350)&gt;1</formula>
    </cfRule>
  </conditionalFormatting>
  <conditionalFormatting sqref="H350:I350">
    <cfRule type="cellIs" dxfId="139" priority="116" operator="greaterThan">
      <formula>$E$350</formula>
    </cfRule>
  </conditionalFormatting>
  <conditionalFormatting sqref="L350:M350">
    <cfRule type="cellIs" dxfId="138" priority="115" operator="greaterThan">
      <formula>$E$350</formula>
    </cfRule>
  </conditionalFormatting>
  <conditionalFormatting sqref="C351:D351">
    <cfRule type="expression" dxfId="137" priority="114">
      <formula>SUM($B$351+$C$351)&gt;1</formula>
    </cfRule>
  </conditionalFormatting>
  <conditionalFormatting sqref="H351:I351">
    <cfRule type="cellIs" dxfId="136" priority="113" operator="greaterThan">
      <formula>$E$351</formula>
    </cfRule>
  </conditionalFormatting>
  <conditionalFormatting sqref="L351:M351">
    <cfRule type="cellIs" dxfId="135" priority="112" operator="greaterThan">
      <formula>$E$351</formula>
    </cfRule>
  </conditionalFormatting>
  <conditionalFormatting sqref="C338:D338">
    <cfRule type="expression" dxfId="134" priority="111">
      <formula>SUM($B$338+$C$338)&gt;$H$28</formula>
    </cfRule>
  </conditionalFormatting>
  <conditionalFormatting sqref="H338:I338">
    <cfRule type="cellIs" dxfId="133" priority="110" operator="greaterThan">
      <formula>$E$338</formula>
    </cfRule>
  </conditionalFormatting>
  <conditionalFormatting sqref="C352:D353">
    <cfRule type="expression" dxfId="132" priority="108">
      <formula>SUM($B$352+$C$352)&gt;$B$154</formula>
    </cfRule>
  </conditionalFormatting>
  <conditionalFormatting sqref="H352:I352">
    <cfRule type="cellIs" dxfId="131" priority="107" operator="greaterThan">
      <formula>$E$352</formula>
    </cfRule>
  </conditionalFormatting>
  <conditionalFormatting sqref="L352:M352">
    <cfRule type="cellIs" dxfId="130" priority="106" operator="greaterThan">
      <formula>$E$352</formula>
    </cfRule>
  </conditionalFormatting>
  <conditionalFormatting sqref="H353:I353">
    <cfRule type="cellIs" dxfId="129" priority="105" operator="greaterThan">
      <formula>$E$352</formula>
    </cfRule>
  </conditionalFormatting>
  <conditionalFormatting sqref="L353:M353">
    <cfRule type="cellIs" dxfId="128" priority="104" operator="greaterThan">
      <formula>$E$352</formula>
    </cfRule>
  </conditionalFormatting>
  <conditionalFormatting sqref="G249:I254">
    <cfRule type="expression" dxfId="127" priority="103">
      <formula>SUM($G$249:$I$254)&gt;$B$249</formula>
    </cfRule>
  </conditionalFormatting>
  <conditionalFormatting sqref="G255:I255">
    <cfRule type="cellIs" dxfId="126" priority="102" operator="greaterThan">
      <formula>$B$255</formula>
    </cfRule>
  </conditionalFormatting>
  <conditionalFormatting sqref="G256:I256">
    <cfRule type="cellIs" dxfId="125" priority="101" operator="greaterThan">
      <formula>$B$256</formula>
    </cfRule>
  </conditionalFormatting>
  <conditionalFormatting sqref="H227:I227">
    <cfRule type="cellIs" dxfId="124" priority="100" operator="greaterThan">
      <formula>$D$227</formula>
    </cfRule>
  </conditionalFormatting>
  <conditionalFormatting sqref="I59">
    <cfRule type="expression" dxfId="123" priority="99">
      <formula>SUM($D$59:$E$59)&gt;1</formula>
    </cfRule>
  </conditionalFormatting>
  <conditionalFormatting sqref="C168">
    <cfRule type="expression" dxfId="122" priority="98">
      <formula>SUM($C$168,$C$153)&gt;$B$153</formula>
    </cfRule>
  </conditionalFormatting>
  <conditionalFormatting sqref="H169:I170">
    <cfRule type="cellIs" dxfId="121" priority="97" operator="greaterThan">
      <formula>$D$168</formula>
    </cfRule>
  </conditionalFormatting>
  <conditionalFormatting sqref="M169:M170">
    <cfRule type="cellIs" dxfId="120" priority="96" operator="greaterThan">
      <formula>$D$168</formula>
    </cfRule>
  </conditionalFormatting>
  <conditionalFormatting sqref="C167">
    <cfRule type="expression" dxfId="119" priority="95">
      <formula>SUM($C$152,$C$167)&gt;$B$152</formula>
    </cfRule>
  </conditionalFormatting>
  <conditionalFormatting sqref="H169:I169">
    <cfRule type="cellIs" dxfId="118" priority="94" operator="greaterThan">
      <formula>$D$169</formula>
    </cfRule>
  </conditionalFormatting>
  <conditionalFormatting sqref="H170:I170">
    <cfRule type="cellIs" dxfId="117" priority="93" operator="greaterThan">
      <formula>$D$170</formula>
    </cfRule>
  </conditionalFormatting>
  <conditionalFormatting sqref="M171">
    <cfRule type="cellIs" dxfId="116" priority="92" operator="greaterThan">
      <formula>$D$171</formula>
    </cfRule>
  </conditionalFormatting>
  <conditionalFormatting sqref="C303:D303">
    <cfRule type="expression" dxfId="115" priority="91">
      <formula>SUM($B$303:$D$303)&gt;($C$154+$C$157)</formula>
    </cfRule>
  </conditionalFormatting>
  <conditionalFormatting sqref="C349:D349">
    <cfRule type="cellIs" dxfId="114" priority="89" operator="greaterThan">
      <formula>$A$310</formula>
    </cfRule>
  </conditionalFormatting>
  <conditionalFormatting sqref="F46">
    <cfRule type="cellIs" dxfId="113" priority="87" operator="greaterThan">
      <formula>$I$40</formula>
    </cfRule>
  </conditionalFormatting>
  <conditionalFormatting sqref="G46">
    <cfRule type="cellIs" dxfId="112" priority="86" operator="greaterThan">
      <formula>$J$40</formula>
    </cfRule>
  </conditionalFormatting>
  <conditionalFormatting sqref="F47">
    <cfRule type="cellIs" dxfId="111" priority="85" operator="greaterThan">
      <formula>$I$41</formula>
    </cfRule>
  </conditionalFormatting>
  <conditionalFormatting sqref="G47">
    <cfRule type="cellIs" dxfId="110" priority="84" operator="greaterThan">
      <formula>$J$41</formula>
    </cfRule>
  </conditionalFormatting>
  <conditionalFormatting sqref="F48">
    <cfRule type="cellIs" dxfId="109" priority="83" operator="greaterThan">
      <formula>$I$42</formula>
    </cfRule>
  </conditionalFormatting>
  <conditionalFormatting sqref="G48">
    <cfRule type="cellIs" dxfId="108" priority="82" operator="greaterThan">
      <formula>$J$42</formula>
    </cfRule>
  </conditionalFormatting>
  <conditionalFormatting sqref="N143:N145 I143:J144 J145">
    <cfRule type="cellIs" dxfId="107" priority="152" operator="greaterThan">
      <formula>$B$143</formula>
    </cfRule>
  </conditionalFormatting>
  <conditionalFormatting sqref="I150:J151">
    <cfRule type="cellIs" dxfId="106" priority="78" operator="greaterThan">
      <formula>$D$152</formula>
    </cfRule>
  </conditionalFormatting>
  <conditionalFormatting sqref="H165:I166">
    <cfRule type="cellIs" dxfId="105" priority="77" operator="greaterThan">
      <formula>$D$167</formula>
    </cfRule>
  </conditionalFormatting>
  <conditionalFormatting sqref="C165:C166">
    <cfRule type="expression" dxfId="104" priority="76">
      <formula>SUM($C$152,$C$167)&gt;$B$152</formula>
    </cfRule>
  </conditionalFormatting>
  <conditionalFormatting sqref="C165">
    <cfRule type="cellIs" dxfId="103" priority="75" operator="greaterThan">
      <formula>$B$165</formula>
    </cfRule>
  </conditionalFormatting>
  <conditionalFormatting sqref="C150">
    <cfRule type="cellIs" dxfId="102" priority="74" operator="greaterThan">
      <formula>$B$150</formula>
    </cfRule>
  </conditionalFormatting>
  <conditionalFormatting sqref="C166">
    <cfRule type="cellIs" dxfId="101" priority="73" operator="greaterThan">
      <formula>$B$166</formula>
    </cfRule>
  </conditionalFormatting>
  <conditionalFormatting sqref="H178:I178">
    <cfRule type="cellIs" dxfId="100" priority="72" operator="greaterThan">
      <formula>$E$176</formula>
    </cfRule>
  </conditionalFormatting>
  <conditionalFormatting sqref="D178">
    <cfRule type="expression" dxfId="99" priority="71">
      <formula>SUM($C$178:$D$178)&gt;$B$178</formula>
    </cfRule>
  </conditionalFormatting>
  <conditionalFormatting sqref="H228:I228">
    <cfRule type="cellIs" dxfId="98" priority="70" operator="greaterThan">
      <formula>$D$227</formula>
    </cfRule>
  </conditionalFormatting>
  <conditionalFormatting sqref="M228">
    <cfRule type="cellIs" dxfId="97" priority="69" operator="greaterThan">
      <formula>$D$227</formula>
    </cfRule>
  </conditionalFormatting>
  <conditionalFormatting sqref="H236:I236">
    <cfRule type="cellIs" dxfId="96" priority="68" operator="greaterThan">
      <formula>$D$227</formula>
    </cfRule>
  </conditionalFormatting>
  <conditionalFormatting sqref="M236">
    <cfRule type="cellIs" dxfId="95" priority="67" operator="greaterThan">
      <formula>$D$227</formula>
    </cfRule>
  </conditionalFormatting>
  <conditionalFormatting sqref="G243:I243 G247:I247">
    <cfRule type="expression" dxfId="94" priority="66">
      <formula>SUM($G$249:$I$254)&gt;$B$249</formula>
    </cfRule>
  </conditionalFormatting>
  <conditionalFormatting sqref="G244:I246">
    <cfRule type="expression" dxfId="93" priority="65">
      <formula>SUM($G$249:$I$254)&gt;$B$249</formula>
    </cfRule>
  </conditionalFormatting>
  <conditionalFormatting sqref="H269:H270 M269:M271">
    <cfRule type="cellIs" dxfId="92" priority="153" operator="greaterThan">
      <formula>$B$270</formula>
    </cfRule>
  </conditionalFormatting>
  <conditionalFormatting sqref="H280:I280">
    <cfRule type="cellIs" dxfId="91" priority="64" operator="notEqual">
      <formula>$H$279</formula>
    </cfRule>
  </conditionalFormatting>
  <conditionalFormatting sqref="H298:I298">
    <cfRule type="cellIs" dxfId="90" priority="63" operator="greaterThan">
      <formula>$E$298</formula>
    </cfRule>
  </conditionalFormatting>
  <conditionalFormatting sqref="L298:M298">
    <cfRule type="cellIs" dxfId="89" priority="62" operator="greaterThan">
      <formula>$E$298</formula>
    </cfRule>
  </conditionalFormatting>
  <conditionalFormatting sqref="H299:I299">
    <cfRule type="cellIs" dxfId="88" priority="61" operator="greaterThan">
      <formula>$E$298</formula>
    </cfRule>
  </conditionalFormatting>
  <conditionalFormatting sqref="L299:M299">
    <cfRule type="cellIs" dxfId="87" priority="60" operator="greaterThan">
      <formula>$E$298</formula>
    </cfRule>
  </conditionalFormatting>
  <conditionalFormatting sqref="H314:I316">
    <cfRule type="cellIs" dxfId="86" priority="59" operator="greaterThan">
      <formula>$E$337</formula>
    </cfRule>
  </conditionalFormatting>
  <conditionalFormatting sqref="L314:M316">
    <cfRule type="cellIs" dxfId="85" priority="58" operator="greaterThan">
      <formula>$E$337</formula>
    </cfRule>
  </conditionalFormatting>
  <conditionalFormatting sqref="H328:I329">
    <cfRule type="cellIs" dxfId="84" priority="56" operator="greaterThan">
      <formula>$E$337</formula>
    </cfRule>
  </conditionalFormatting>
  <conditionalFormatting sqref="H229:I230">
    <cfRule type="cellIs" dxfId="83" priority="53" operator="greaterThan">
      <formula>$D$227</formula>
    </cfRule>
  </conditionalFormatting>
  <conditionalFormatting sqref="M229:M230">
    <cfRule type="cellIs" dxfId="82" priority="52" operator="greaterThan">
      <formula>$D$227</formula>
    </cfRule>
  </conditionalFormatting>
  <conditionalFormatting sqref="H145:I145">
    <cfRule type="cellIs" dxfId="81" priority="51" operator="greaterThan">
      <formula>$B$143</formula>
    </cfRule>
  </conditionalFormatting>
  <conditionalFormatting sqref="H144">
    <cfRule type="cellIs" dxfId="80" priority="50" operator="greaterThan">
      <formula>$B$143</formula>
    </cfRule>
  </conditionalFormatting>
  <conditionalFormatting sqref="C337:D337">
    <cfRule type="expression" dxfId="79" priority="194">
      <formula>SUM($B$337+$C$337)&gt;$H$29</formula>
    </cfRule>
  </conditionalFormatting>
  <conditionalFormatting sqref="C314:D316 C318:D327">
    <cfRule type="expression" dxfId="78" priority="195">
      <formula>SUM($B$337+$C$337)&gt;$H$29</formula>
    </cfRule>
  </conditionalFormatting>
  <conditionalFormatting sqref="C328:D328">
    <cfRule type="expression" dxfId="77" priority="197">
      <formula>SUM($B$337+$C$337)&gt;$H$29</formula>
    </cfRule>
  </conditionalFormatting>
  <conditionalFormatting sqref="M102">
    <cfRule type="cellIs" dxfId="76" priority="198" operator="greaterThan">
      <formula>$G$102</formula>
    </cfRule>
  </conditionalFormatting>
  <conditionalFormatting sqref="M100:M101">
    <cfRule type="cellIs" dxfId="75" priority="200" operator="greaterThan">
      <formula>$G$101</formula>
    </cfRule>
  </conditionalFormatting>
  <conditionalFormatting sqref="M103">
    <cfRule type="cellIs" dxfId="74" priority="201" operator="greaterThan">
      <formula>$G$103</formula>
    </cfRule>
  </conditionalFormatting>
  <conditionalFormatting sqref="H177:I177">
    <cfRule type="cellIs" dxfId="73" priority="39" operator="greaterThan">
      <formula>$E$176</formula>
    </cfRule>
  </conditionalFormatting>
  <conditionalFormatting sqref="D177">
    <cfRule type="expression" dxfId="72" priority="38">
      <formula>SUM($C$178:$D$178)&gt;$B$178</formula>
    </cfRule>
  </conditionalFormatting>
  <conditionalFormatting sqref="H231:I235">
    <cfRule type="cellIs" dxfId="71" priority="37" operator="greaterThan">
      <formula>$D$227</formula>
    </cfRule>
  </conditionalFormatting>
  <conditionalFormatting sqref="M231:M235">
    <cfRule type="cellIs" dxfId="70" priority="36" operator="greaterThan">
      <formula>$D$227</formula>
    </cfRule>
  </conditionalFormatting>
  <conditionalFormatting sqref="C340:D347">
    <cfRule type="expression" dxfId="69" priority="5">
      <formula>SUM($B$339+$C$339)&gt;1</formula>
    </cfRule>
  </conditionalFormatting>
  <conditionalFormatting sqref="H340:I347">
    <cfRule type="cellIs" dxfId="68" priority="4" operator="greaterThan">
      <formula>$E$339</formula>
    </cfRule>
  </conditionalFormatting>
  <conditionalFormatting sqref="L340:M347">
    <cfRule type="cellIs" dxfId="67" priority="3" operator="greaterThan">
      <formula>$E$339</formula>
    </cfRule>
  </conditionalFormatting>
  <conditionalFormatting sqref="J329:M329">
    <cfRule type="cellIs" dxfId="66" priority="1" operator="greaterThan">
      <formula>$E$337</formula>
    </cfRule>
  </conditionalFormatting>
  <dataValidations count="15">
    <dataValidation type="list" allowBlank="1" showInputMessage="1" showErrorMessage="1" sqref="B46:B48">
      <formula1>"None,Solid,Liquid,LPA,Solid+LPA,Solid+Liquid+LPA,Solid+Liquid,Liquid+LPA"</formula1>
    </dataValidation>
    <dataValidation type="list" allowBlank="1" showInputMessage="1" showErrorMessage="1" sqref="D3">
      <formula1>"1, 1.3"</formula1>
    </dataValidation>
    <dataValidation type="whole" operator="greaterThanOrEqual" allowBlank="1" showInputMessage="1" showErrorMessage="1" sqref="D58:K58 M51:M63 D59:G63 D49:K49 D45:G45 D50:G50 O19:S23 O26:S30 Q31:U31">
      <formula1>0</formula1>
    </dataValidation>
    <dataValidation type="list" allowBlank="1" showInputMessage="1" showErrorMessage="1" sqref="B6">
      <formula1>"Tribal,Urban,Rural"</formula1>
    </dataValidation>
    <dataValidation allowBlank="1" showInputMessage="1" showErrorMessage="1" promptTitle="Norms" prompt="Non-salaried dot provider / community volunteers / govt staff without provision of TA, to be provided an aggregate amount of Rs. 15 per patient (maximum Rs. 1000 per month) for sputum sample transportation non-DMC PHI to DMC" sqref="H360:I360"/>
    <dataValidation allowBlank="1" showInputMessage="1" showErrorMessage="1" promptTitle="Norms" prompt="As per the MoU or arrangement approved by DHS/SHS" sqref="H361:I361"/>
    <dataValidation type="whole" allowBlank="1" showInputMessage="1" showErrorMessage="1" sqref="H3:I3">
      <formula1>1</formula1>
      <formula2>200</formula2>
    </dataValidation>
    <dataValidation type="whole" allowBlank="1" showInputMessage="1" showErrorMessage="1" sqref="D5:I5">
      <formula1>0</formula1>
      <formula2>200</formula2>
    </dataValidation>
    <dataValidation type="whole" allowBlank="1" showInputMessage="1" showErrorMessage="1" sqref="H18:I18">
      <formula1>0</formula1>
      <formula2>1000</formula2>
    </dataValidation>
    <dataValidation type="whole" allowBlank="1" showInputMessage="1" showErrorMessage="1" sqref="H9:I17">
      <formula1>0</formula1>
      <formula2>10000</formula2>
    </dataValidation>
    <dataValidation type="whole" allowBlank="1" showInputMessage="1" showErrorMessage="1" sqref="C39:J44">
      <formula1>0</formula1>
      <formula2>10000000000</formula2>
    </dataValidation>
    <dataValidation type="whole" allowBlank="1" showInputMessage="1" showErrorMessage="1" sqref="C46:G48">
      <formula1>0</formula1>
      <formula2>100000000000000</formula2>
    </dataValidation>
    <dataValidation type="whole" allowBlank="1" showInputMessage="1" showErrorMessage="1" sqref="C51:J57">
      <formula1>0</formula1>
      <formula2>1000000000000000</formula2>
    </dataValidation>
    <dataValidation type="whole" allowBlank="1" showInputMessage="1" showErrorMessage="1" sqref="O24:S25">
      <formula1>0</formula1>
      <formula2>100</formula2>
    </dataValidation>
    <dataValidation type="whole" allowBlank="1" showInputMessage="1" showErrorMessage="1" sqref="H20:I30">
      <formula1>0</formula1>
      <formula2>5000</formula2>
    </dataValidation>
  </dataValidations>
  <pageMargins left="0.70866141732283472" right="0.70866141732283472" top="0.74803149606299213" bottom="0.74803149606299213" header="0.31496062992125984" footer="0.31496062992125984"/>
  <pageSetup paperSize="9" orientation="landscape" horizontalDpi="300" verticalDpi="300" r:id="rId1"/>
  <legacyDrawing r:id="rId2"/>
  <extLst>
    <ext xmlns:x14="http://schemas.microsoft.com/office/spreadsheetml/2009/9/main" uri="{CCE6A557-97BC-4b89-ADB6-D9C93CAAB3DF}">
      <x14:dataValidations xmlns:xm="http://schemas.microsoft.com/office/excel/2006/main" count="2">
        <x14:dataValidation type="list" operator="greaterThanOrEqual" showInputMessage="1" showErrorMessage="1">
          <x14:formula1>
            <xm:f>List!$B$1:$B$35</xm:f>
          </x14:formula1>
          <xm:sqref>B3</xm:sqref>
        </x14:dataValidation>
        <x14:dataValidation type="list" showInputMessage="1" showErrorMessage="1">
          <x14:formula1>
            <xm:f>List!$A$1:$A$4</xm:f>
          </x14:formula1>
          <xm:sqref>B4:B5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E3" sqref="E3"/>
    </sheetView>
  </sheetViews>
  <sheetFormatPr defaultRowHeight="15" x14ac:dyDescent="0.25"/>
  <cols>
    <col min="2" max="2" width="15" customWidth="1"/>
    <col min="3" max="8" width="13.85546875" customWidth="1"/>
  </cols>
  <sheetData>
    <row r="1" spans="1:13" ht="15.75" x14ac:dyDescent="0.25">
      <c r="D1" s="1504" t="s">
        <v>189</v>
      </c>
      <c r="E1" s="1504"/>
      <c r="F1" s="1504" t="s">
        <v>258</v>
      </c>
      <c r="G1" s="1504"/>
      <c r="H1" s="1504"/>
      <c r="I1" t="s">
        <v>250</v>
      </c>
    </row>
    <row r="2" spans="1:13" s="70" customFormat="1" ht="51" x14ac:dyDescent="0.25">
      <c r="A2" s="153" t="s">
        <v>0</v>
      </c>
      <c r="B2" s="1505" t="s">
        <v>1</v>
      </c>
      <c r="C2" s="1597"/>
      <c r="D2" s="153" t="s">
        <v>41</v>
      </c>
      <c r="E2" s="153" t="s">
        <v>191</v>
      </c>
      <c r="F2" s="153" t="s">
        <v>41</v>
      </c>
      <c r="G2" s="180" t="s">
        <v>192</v>
      </c>
      <c r="H2" s="153" t="s">
        <v>193</v>
      </c>
      <c r="I2" s="169" t="s">
        <v>245</v>
      </c>
      <c r="J2" s="169" t="s">
        <v>246</v>
      </c>
      <c r="K2" s="169" t="s">
        <v>247</v>
      </c>
      <c r="L2" s="169" t="s">
        <v>248</v>
      </c>
      <c r="M2" s="169" t="s">
        <v>249</v>
      </c>
    </row>
    <row r="3" spans="1:13" ht="15.75" x14ac:dyDescent="0.25">
      <c r="A3" s="1">
        <v>1</v>
      </c>
      <c r="B3" s="1511" t="s">
        <v>3</v>
      </c>
      <c r="C3" s="1596"/>
      <c r="D3" s="179"/>
      <c r="E3" s="179"/>
      <c r="F3" s="179"/>
      <c r="G3" s="179"/>
      <c r="H3" s="179"/>
      <c r="I3" s="166"/>
      <c r="J3" s="166"/>
      <c r="K3" s="166"/>
      <c r="L3" s="166"/>
      <c r="M3" s="166"/>
    </row>
    <row r="4" spans="1:13" ht="15.75" x14ac:dyDescent="0.25">
      <c r="A4" s="1">
        <v>2</v>
      </c>
      <c r="B4" s="1511" t="s">
        <v>4</v>
      </c>
      <c r="C4" s="1596"/>
      <c r="D4" s="179"/>
      <c r="E4" s="179"/>
      <c r="F4" s="179"/>
      <c r="G4" s="179"/>
      <c r="H4" s="179"/>
      <c r="I4" s="166"/>
      <c r="J4" s="166"/>
      <c r="K4" s="166"/>
      <c r="L4" s="166"/>
      <c r="M4" s="166"/>
    </row>
    <row r="5" spans="1:13" ht="15.75" x14ac:dyDescent="0.25">
      <c r="A5" s="1">
        <v>3</v>
      </c>
      <c r="B5" s="1511" t="s">
        <v>5</v>
      </c>
      <c r="C5" s="1596"/>
      <c r="D5" s="179"/>
      <c r="E5" s="179"/>
      <c r="F5" s="179"/>
      <c r="G5" s="179"/>
      <c r="H5" s="179"/>
      <c r="I5" s="166"/>
      <c r="J5" s="166"/>
      <c r="K5" s="166"/>
      <c r="L5" s="166"/>
      <c r="M5" s="166"/>
    </row>
    <row r="6" spans="1:13" ht="15.75" x14ac:dyDescent="0.25">
      <c r="A6" s="1">
        <v>4</v>
      </c>
      <c r="B6" s="1511" t="s">
        <v>6</v>
      </c>
      <c r="C6" s="1596"/>
      <c r="D6" s="179"/>
      <c r="E6" s="179"/>
      <c r="F6" s="179"/>
      <c r="G6" s="179"/>
      <c r="H6" s="179"/>
      <c r="I6" s="166"/>
      <c r="J6" s="166"/>
      <c r="K6" s="166"/>
      <c r="L6" s="166"/>
      <c r="M6" s="166"/>
    </row>
    <row r="7" spans="1:13" ht="15.75" x14ac:dyDescent="0.25">
      <c r="A7" s="1">
        <v>5</v>
      </c>
      <c r="B7" s="1511" t="s">
        <v>7</v>
      </c>
      <c r="C7" s="1596"/>
      <c r="D7" s="179"/>
      <c r="E7" s="179"/>
      <c r="F7" s="179"/>
      <c r="G7" s="179"/>
      <c r="H7" s="179"/>
      <c r="I7" s="166"/>
      <c r="J7" s="166"/>
      <c r="K7" s="166"/>
      <c r="L7" s="166"/>
      <c r="M7" s="166"/>
    </row>
    <row r="8" spans="1:13" ht="15.75" x14ac:dyDescent="0.25">
      <c r="A8" s="1">
        <v>6</v>
      </c>
      <c r="B8" s="1511" t="s">
        <v>8</v>
      </c>
      <c r="C8" s="1596"/>
      <c r="D8" s="179"/>
      <c r="E8" s="179"/>
      <c r="F8" s="179"/>
      <c r="G8" s="179"/>
      <c r="H8" s="179"/>
      <c r="I8" s="166"/>
      <c r="J8" s="166"/>
      <c r="K8" s="166"/>
      <c r="L8" s="166"/>
      <c r="M8" s="166"/>
    </row>
    <row r="9" spans="1:13" ht="15.75" x14ac:dyDescent="0.25">
      <c r="A9" s="1">
        <v>7</v>
      </c>
      <c r="B9" s="1511" t="s">
        <v>9</v>
      </c>
      <c r="C9" s="1596"/>
      <c r="D9" s="179"/>
      <c r="E9" s="179"/>
      <c r="F9" s="179"/>
      <c r="G9" s="179"/>
      <c r="H9" s="179"/>
      <c r="I9" s="166"/>
      <c r="J9" s="166"/>
      <c r="K9" s="166"/>
      <c r="L9" s="166"/>
      <c r="M9" s="166"/>
    </row>
    <row r="10" spans="1:13" ht="15.75" x14ac:dyDescent="0.25">
      <c r="A10" s="1">
        <v>8</v>
      </c>
      <c r="B10" s="1511" t="s">
        <v>10</v>
      </c>
      <c r="C10" s="1596"/>
      <c r="D10" s="179"/>
      <c r="E10" s="179"/>
      <c r="F10" s="179"/>
      <c r="G10" s="179"/>
      <c r="H10" s="179"/>
      <c r="I10" s="166"/>
      <c r="J10" s="166"/>
      <c r="K10" s="166"/>
      <c r="L10" s="166"/>
      <c r="M10" s="166"/>
    </row>
    <row r="11" spans="1:13" ht="15.75" x14ac:dyDescent="0.25">
      <c r="A11" s="1">
        <v>9</v>
      </c>
      <c r="B11" s="1511" t="s">
        <v>11</v>
      </c>
      <c r="C11" s="1596"/>
      <c r="D11" s="179"/>
      <c r="E11" s="179"/>
      <c r="F11" s="179"/>
      <c r="G11" s="179"/>
      <c r="H11" s="179"/>
      <c r="I11" s="166"/>
      <c r="J11" s="166"/>
      <c r="K11" s="166"/>
      <c r="L11" s="166"/>
      <c r="M11" s="166"/>
    </row>
    <row r="12" spans="1:13" ht="15.75" x14ac:dyDescent="0.25">
      <c r="A12" s="1">
        <v>10</v>
      </c>
      <c r="B12" s="1511" t="s">
        <v>12</v>
      </c>
      <c r="C12" s="1596"/>
      <c r="D12" s="179"/>
      <c r="E12" s="179"/>
      <c r="F12" s="179"/>
      <c r="G12" s="179"/>
      <c r="H12" s="179"/>
      <c r="I12" s="166"/>
      <c r="J12" s="166"/>
      <c r="K12" s="166"/>
      <c r="L12" s="166"/>
      <c r="M12" s="166"/>
    </row>
    <row r="13" spans="1:13" ht="15.75" x14ac:dyDescent="0.25">
      <c r="A13" s="1">
        <v>11</v>
      </c>
      <c r="B13" s="1511" t="s">
        <v>13</v>
      </c>
      <c r="C13" s="1596"/>
      <c r="D13" s="179"/>
      <c r="E13" s="179"/>
      <c r="F13" s="179"/>
      <c r="G13" s="179"/>
      <c r="H13" s="179"/>
      <c r="I13" s="166"/>
      <c r="J13" s="166"/>
      <c r="K13" s="166"/>
      <c r="L13" s="166"/>
      <c r="M13" s="166"/>
    </row>
    <row r="14" spans="1:13" ht="15.75" x14ac:dyDescent="0.25">
      <c r="A14" s="1">
        <v>12</v>
      </c>
      <c r="B14" s="1511" t="s">
        <v>14</v>
      </c>
      <c r="C14" s="1596"/>
      <c r="D14" s="179"/>
      <c r="E14" s="179"/>
      <c r="F14" s="179"/>
      <c r="G14" s="179"/>
      <c r="H14" s="179"/>
      <c r="I14" s="166"/>
      <c r="J14" s="166"/>
      <c r="K14" s="166"/>
      <c r="L14" s="166"/>
      <c r="M14" s="166"/>
    </row>
    <row r="15" spans="1:13" ht="15.75" x14ac:dyDescent="0.25">
      <c r="A15" s="1">
        <v>13</v>
      </c>
      <c r="B15" s="1511" t="s">
        <v>15</v>
      </c>
      <c r="C15" s="1596"/>
      <c r="D15" s="179"/>
      <c r="E15" s="179"/>
      <c r="F15" s="179"/>
      <c r="G15" s="179"/>
      <c r="H15" s="179"/>
      <c r="I15" s="166"/>
      <c r="J15" s="166"/>
      <c r="K15" s="166"/>
      <c r="L15" s="166"/>
      <c r="M15" s="166"/>
    </row>
    <row r="16" spans="1:13" ht="15.75" x14ac:dyDescent="0.25">
      <c r="A16" s="1">
        <v>14</v>
      </c>
      <c r="B16" s="1511" t="s">
        <v>16</v>
      </c>
      <c r="C16" s="1596"/>
      <c r="D16" s="179"/>
      <c r="E16" s="179"/>
      <c r="F16" s="179"/>
      <c r="G16" s="179"/>
      <c r="H16" s="179"/>
      <c r="I16" s="166"/>
      <c r="J16" s="166"/>
      <c r="K16" s="166"/>
      <c r="L16" s="166"/>
      <c r="M16" s="166"/>
    </row>
    <row r="17" spans="1:13" ht="15.75" x14ac:dyDescent="0.25">
      <c r="A17" s="176">
        <v>15</v>
      </c>
      <c r="B17" s="1511" t="s">
        <v>251</v>
      </c>
      <c r="C17" s="1511"/>
      <c r="D17" s="2"/>
      <c r="E17" s="2"/>
      <c r="F17" s="2"/>
      <c r="G17" s="2"/>
      <c r="H17" s="2"/>
      <c r="I17" s="166"/>
      <c r="J17" s="166"/>
      <c r="K17" s="166"/>
      <c r="L17" s="166"/>
      <c r="M17" s="166"/>
    </row>
    <row r="18" spans="1:13" ht="15.75" customHeight="1" x14ac:dyDescent="0.25">
      <c r="A18" s="176">
        <v>16</v>
      </c>
      <c r="B18" s="1511" t="s">
        <v>17</v>
      </c>
      <c r="C18" s="1511"/>
      <c r="D18" s="2"/>
      <c r="E18" s="2"/>
      <c r="F18" s="2"/>
      <c r="G18" s="2"/>
      <c r="H18" s="2"/>
      <c r="I18" s="166"/>
      <c r="J18" s="166"/>
      <c r="K18" s="166"/>
      <c r="L18" s="166"/>
      <c r="M18" s="166"/>
    </row>
    <row r="19" spans="1:13" ht="15.75" customHeight="1" x14ac:dyDescent="0.25">
      <c r="A19" s="176">
        <v>17</v>
      </c>
      <c r="B19" s="1511" t="s">
        <v>18</v>
      </c>
      <c r="C19" s="1511"/>
      <c r="D19" s="2"/>
      <c r="E19" s="2"/>
      <c r="F19" s="2"/>
      <c r="G19" s="2"/>
      <c r="H19" s="2"/>
      <c r="I19" s="166"/>
      <c r="J19" s="166"/>
      <c r="K19" s="166"/>
      <c r="L19" s="166"/>
      <c r="M19" s="166"/>
    </row>
    <row r="20" spans="1:13" ht="15.75" customHeight="1" x14ac:dyDescent="0.25">
      <c r="A20" s="176">
        <v>18</v>
      </c>
      <c r="B20" s="1511" t="s">
        <v>19</v>
      </c>
      <c r="C20" s="1511"/>
      <c r="D20" s="2"/>
      <c r="E20" s="2"/>
      <c r="F20" s="2"/>
      <c r="G20" s="2"/>
      <c r="H20" s="2"/>
      <c r="I20" s="166"/>
      <c r="J20" s="166"/>
      <c r="K20" s="166"/>
      <c r="L20" s="166"/>
      <c r="M20" s="166"/>
    </row>
    <row r="21" spans="1:13" ht="15.75" customHeight="1" x14ac:dyDescent="0.25">
      <c r="A21" s="176">
        <v>19</v>
      </c>
      <c r="B21" s="1531" t="s">
        <v>20</v>
      </c>
      <c r="C21" s="1531"/>
      <c r="D21" s="155"/>
      <c r="E21" s="155"/>
      <c r="F21" s="155"/>
      <c r="G21" s="155"/>
      <c r="H21" s="155"/>
      <c r="I21" s="166"/>
      <c r="J21" s="166"/>
      <c r="K21" s="166"/>
      <c r="L21" s="166"/>
      <c r="M21" s="166"/>
    </row>
    <row r="22" spans="1:13" ht="15.75" x14ac:dyDescent="0.25">
      <c r="A22" s="1"/>
      <c r="B22" s="1511" t="s">
        <v>2</v>
      </c>
      <c r="C22" s="1596"/>
      <c r="D22" s="179"/>
      <c r="E22" s="179"/>
      <c r="F22" s="179"/>
      <c r="G22" s="179"/>
      <c r="H22" s="179"/>
      <c r="I22" s="166"/>
      <c r="J22" s="166"/>
      <c r="K22" s="166"/>
      <c r="L22" s="166"/>
      <c r="M22" s="166"/>
    </row>
    <row r="23" spans="1:13" ht="33.75" customHeight="1" x14ac:dyDescent="0.25">
      <c r="A23" s="5">
        <v>20</v>
      </c>
      <c r="B23" s="1511" t="s">
        <v>21</v>
      </c>
      <c r="C23" s="1596"/>
      <c r="D23" s="179"/>
      <c r="E23" s="179"/>
      <c r="F23" s="179"/>
      <c r="G23" s="179"/>
      <c r="H23" s="179"/>
      <c r="I23" s="166"/>
      <c r="J23" s="166"/>
      <c r="K23" s="166"/>
      <c r="L23" s="166"/>
      <c r="M23" s="166"/>
    </row>
    <row r="24" spans="1:13" ht="15.75" x14ac:dyDescent="0.25">
      <c r="A24" s="1"/>
      <c r="B24" s="1511" t="s">
        <v>22</v>
      </c>
      <c r="C24" s="1596"/>
      <c r="D24" s="179"/>
      <c r="E24" s="179"/>
      <c r="F24" s="179"/>
      <c r="G24" s="179"/>
      <c r="H24" s="179"/>
      <c r="I24" s="166"/>
      <c r="J24" s="166"/>
      <c r="K24" s="166"/>
      <c r="L24" s="166"/>
      <c r="M24" s="166"/>
    </row>
  </sheetData>
  <mergeCells count="25">
    <mergeCell ref="D1:E1"/>
    <mergeCell ref="F1:H1"/>
    <mergeCell ref="B2:C2"/>
    <mergeCell ref="B20:C20"/>
    <mergeCell ref="B21:C21"/>
    <mergeCell ref="B7:C7"/>
    <mergeCell ref="B8:C8"/>
    <mergeCell ref="B9:C9"/>
    <mergeCell ref="B10:C10"/>
    <mergeCell ref="B11:C11"/>
    <mergeCell ref="B12:C12"/>
    <mergeCell ref="B3:C3"/>
    <mergeCell ref="B4:C4"/>
    <mergeCell ref="B5:C5"/>
    <mergeCell ref="B6:C6"/>
    <mergeCell ref="B22:C22"/>
    <mergeCell ref="B23:C23"/>
    <mergeCell ref="B24:C24"/>
    <mergeCell ref="B17:C17"/>
    <mergeCell ref="B13:C13"/>
    <mergeCell ref="B14:C14"/>
    <mergeCell ref="B15:C15"/>
    <mergeCell ref="B16:C16"/>
    <mergeCell ref="B18:C18"/>
    <mergeCell ref="B19:C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B1" sqref="B1"/>
    </sheetView>
  </sheetViews>
  <sheetFormatPr defaultRowHeight="15" x14ac:dyDescent="0.25"/>
  <cols>
    <col min="1" max="1" width="11.7109375" bestFit="1" customWidth="1"/>
    <col min="2" max="2" width="23.28515625" bestFit="1" customWidth="1"/>
  </cols>
  <sheetData>
    <row r="1" spans="1:3" x14ac:dyDescent="0.25">
      <c r="A1" t="s">
        <v>29</v>
      </c>
      <c r="B1" s="375" t="s">
        <v>603</v>
      </c>
      <c r="C1">
        <v>3.8316765200409417</v>
      </c>
    </row>
    <row r="2" spans="1:3" x14ac:dyDescent="0.25">
      <c r="A2" t="s">
        <v>465</v>
      </c>
      <c r="B2" s="375" t="s">
        <v>604</v>
      </c>
      <c r="C2">
        <v>864.70116177948</v>
      </c>
    </row>
    <row r="3" spans="1:3" x14ac:dyDescent="0.25">
      <c r="A3" t="s">
        <v>569</v>
      </c>
      <c r="B3" s="375" t="s">
        <v>571</v>
      </c>
      <c r="C3">
        <v>14.680108072392677</v>
      </c>
    </row>
    <row r="4" spans="1:3" x14ac:dyDescent="0.25">
      <c r="A4" t="s">
        <v>570</v>
      </c>
      <c r="B4" s="375" t="s">
        <v>572</v>
      </c>
      <c r="C4">
        <v>324.61272854415586</v>
      </c>
    </row>
    <row r="5" spans="1:3" x14ac:dyDescent="0.25">
      <c r="B5" s="375" t="s">
        <v>573</v>
      </c>
      <c r="C5">
        <v>1107.5622593061598</v>
      </c>
    </row>
    <row r="6" spans="1:3" x14ac:dyDescent="0.25">
      <c r="B6" s="375" t="s">
        <v>574</v>
      </c>
      <c r="C6">
        <v>10.941627184124307</v>
      </c>
    </row>
    <row r="7" spans="1:3" x14ac:dyDescent="0.25">
      <c r="B7" s="375" t="s">
        <v>575</v>
      </c>
      <c r="C7">
        <v>270.32010687839437</v>
      </c>
    </row>
    <row r="8" spans="1:3" x14ac:dyDescent="0.25">
      <c r="B8" s="375" t="s">
        <v>576</v>
      </c>
      <c r="C8">
        <v>3.8509248959999995</v>
      </c>
    </row>
    <row r="9" spans="1:3" x14ac:dyDescent="0.25">
      <c r="B9" s="375" t="s">
        <v>577</v>
      </c>
      <c r="C9">
        <v>2.7283763519999997</v>
      </c>
    </row>
    <row r="10" spans="1:3" x14ac:dyDescent="0.25">
      <c r="B10" s="375" t="s">
        <v>578</v>
      </c>
      <c r="C10">
        <v>175.14665357962176</v>
      </c>
    </row>
    <row r="11" spans="1:3" x14ac:dyDescent="0.25">
      <c r="B11" s="375" t="s">
        <v>605</v>
      </c>
      <c r="C11">
        <v>14.856125216426204</v>
      </c>
    </row>
    <row r="12" spans="1:3" x14ac:dyDescent="0.25">
      <c r="B12" s="375" t="s">
        <v>579</v>
      </c>
      <c r="C12">
        <v>634.98094764984</v>
      </c>
    </row>
    <row r="13" spans="1:3" x14ac:dyDescent="0.25">
      <c r="B13" s="375" t="s">
        <v>580</v>
      </c>
      <c r="C13">
        <v>267.40916874488175</v>
      </c>
    </row>
    <row r="14" spans="1:3" x14ac:dyDescent="0.25">
      <c r="B14" s="375" t="s">
        <v>581</v>
      </c>
      <c r="C14">
        <v>70.698010531206009</v>
      </c>
    </row>
    <row r="15" spans="1:3" x14ac:dyDescent="0.25">
      <c r="B15" s="375" t="s">
        <v>582</v>
      </c>
      <c r="C15">
        <v>133.11900700799995</v>
      </c>
    </row>
    <row r="16" spans="1:3" x14ac:dyDescent="0.25">
      <c r="B16" s="375" t="s">
        <v>583</v>
      </c>
      <c r="C16">
        <v>351.28106270649761</v>
      </c>
    </row>
    <row r="17" spans="2:3" x14ac:dyDescent="0.25">
      <c r="B17" s="375" t="s">
        <v>584</v>
      </c>
      <c r="C17">
        <v>635.83454999905155</v>
      </c>
    </row>
    <row r="18" spans="2:3" x14ac:dyDescent="0.25">
      <c r="B18" s="375" t="s">
        <v>585</v>
      </c>
      <c r="C18">
        <v>337.39065606586502</v>
      </c>
    </row>
    <row r="19" spans="2:3" x14ac:dyDescent="0.25">
      <c r="B19" s="375" t="s">
        <v>586</v>
      </c>
      <c r="C19">
        <v>0.65043727029463339</v>
      </c>
    </row>
    <row r="20" spans="2:3" x14ac:dyDescent="0.25">
      <c r="B20" s="375" t="s">
        <v>587</v>
      </c>
      <c r="C20">
        <v>765.03481015645832</v>
      </c>
    </row>
    <row r="21" spans="2:3" x14ac:dyDescent="0.25">
      <c r="B21" s="375" t="s">
        <v>588</v>
      </c>
      <c r="C21">
        <v>1168.1615370247198</v>
      </c>
    </row>
    <row r="22" spans="2:3" x14ac:dyDescent="0.25">
      <c r="B22" s="375" t="s">
        <v>589</v>
      </c>
      <c r="C22">
        <v>28.552897450418286</v>
      </c>
    </row>
    <row r="23" spans="2:3" x14ac:dyDescent="0.25">
      <c r="B23" s="375" t="s">
        <v>590</v>
      </c>
      <c r="C23">
        <v>31.947816825595414</v>
      </c>
    </row>
    <row r="24" spans="2:3" x14ac:dyDescent="0.25">
      <c r="B24" s="375" t="s">
        <v>591</v>
      </c>
      <c r="C24">
        <v>11.475743962062108</v>
      </c>
    </row>
    <row r="25" spans="2:3" x14ac:dyDescent="0.25">
      <c r="B25" s="375" t="s">
        <v>592</v>
      </c>
      <c r="C25">
        <v>20.104100601000003</v>
      </c>
    </row>
    <row r="26" spans="2:3" x14ac:dyDescent="0.25">
      <c r="B26" s="375" t="s">
        <v>593</v>
      </c>
      <c r="C26">
        <v>434.02129015156231</v>
      </c>
    </row>
    <row r="27" spans="2:3" x14ac:dyDescent="0.25">
      <c r="B27" s="375" t="s">
        <v>594</v>
      </c>
      <c r="C27">
        <v>13.280250057004118</v>
      </c>
    </row>
    <row r="28" spans="2:3" x14ac:dyDescent="0.25">
      <c r="B28" s="375" t="s">
        <v>595</v>
      </c>
      <c r="C28">
        <v>286.88611657074301</v>
      </c>
    </row>
    <row r="29" spans="2:3" x14ac:dyDescent="0.25">
      <c r="B29" s="375" t="s">
        <v>596</v>
      </c>
      <c r="C29">
        <v>723.71013063776002</v>
      </c>
    </row>
    <row r="30" spans="2:3" x14ac:dyDescent="0.25">
      <c r="B30" s="375" t="s">
        <v>597</v>
      </c>
      <c r="C30">
        <v>6.2572020209184576</v>
      </c>
    </row>
    <row r="31" spans="2:3" x14ac:dyDescent="0.25">
      <c r="B31" s="375" t="s">
        <v>598</v>
      </c>
      <c r="C31">
        <v>752.16343024032119</v>
      </c>
    </row>
    <row r="32" spans="2:3" x14ac:dyDescent="0.25">
      <c r="B32" s="375" t="s">
        <v>599</v>
      </c>
      <c r="C32">
        <v>37.661328078985775</v>
      </c>
    </row>
    <row r="33" spans="2:3" x14ac:dyDescent="0.25">
      <c r="B33" s="375" t="s">
        <v>600</v>
      </c>
      <c r="C33">
        <v>2104.8820555509601</v>
      </c>
    </row>
    <row r="34" spans="2:3" x14ac:dyDescent="0.25">
      <c r="B34" s="375" t="s">
        <v>601</v>
      </c>
      <c r="C34">
        <v>106.20151302067809</v>
      </c>
    </row>
    <row r="35" spans="2:3" x14ac:dyDescent="0.25">
      <c r="B35" s="375" t="s">
        <v>602</v>
      </c>
      <c r="C35">
        <v>941.95710561630574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48538"/>
  <sheetViews>
    <sheetView view="pageBreakPreview" topLeftCell="A80655" zoomScale="66" zoomScaleNormal="50" zoomScaleSheetLayoutView="66" zoomScalePageLayoutView="41" workbookViewId="0">
      <selection activeCell="S33" sqref="S33"/>
    </sheetView>
  </sheetViews>
  <sheetFormatPr defaultRowHeight="15" x14ac:dyDescent="0.25"/>
  <cols>
    <col min="1" max="1" width="21.140625" style="70" customWidth="1"/>
    <col min="2" max="2" width="22.7109375" style="70" customWidth="1"/>
    <col min="3" max="3" width="19.7109375" customWidth="1"/>
    <col min="4" max="4" width="13.85546875" customWidth="1"/>
    <col min="5" max="5" width="15.7109375" customWidth="1"/>
    <col min="6" max="6" width="14.85546875" customWidth="1"/>
    <col min="7" max="7" width="12.85546875" customWidth="1"/>
    <col min="8" max="8" width="13.5703125" customWidth="1"/>
    <col min="9" max="9" width="12.85546875" customWidth="1"/>
    <col min="10" max="11" width="13.42578125" customWidth="1"/>
    <col min="12" max="12" width="12.140625" customWidth="1"/>
    <col min="13" max="13" width="12.28515625" customWidth="1"/>
    <col min="14" max="14" width="13.85546875" customWidth="1"/>
    <col min="15" max="15" width="10.28515625" customWidth="1"/>
    <col min="16" max="16" width="16.42578125" customWidth="1"/>
    <col min="17" max="17" width="11.28515625" customWidth="1"/>
    <col min="18" max="18" width="11" customWidth="1"/>
    <col min="19" max="19" width="17.5703125" customWidth="1"/>
    <col min="20" max="20" width="13.5703125" customWidth="1"/>
    <col min="22" max="22" width="10.42578125" style="6" bestFit="1" customWidth="1"/>
    <col min="23" max="23" width="10.7109375" style="6" bestFit="1" customWidth="1"/>
    <col min="24" max="16384" width="9.140625" style="6"/>
  </cols>
  <sheetData>
    <row r="1" spans="1:21" ht="18" x14ac:dyDescent="0.25">
      <c r="A1" s="961" t="s">
        <v>835</v>
      </c>
      <c r="B1" s="961"/>
      <c r="C1" s="961"/>
      <c r="D1" s="961"/>
      <c r="E1" s="961"/>
      <c r="F1" s="961"/>
      <c r="G1" s="961"/>
      <c r="H1" s="961"/>
      <c r="I1" s="961"/>
    </row>
    <row r="2" spans="1:21" ht="18" x14ac:dyDescent="0.25">
      <c r="A2" s="961" t="s">
        <v>23</v>
      </c>
      <c r="B2" s="961"/>
      <c r="C2" s="961"/>
      <c r="D2" s="961"/>
      <c r="E2" s="961"/>
      <c r="F2" s="961"/>
      <c r="G2" s="961"/>
      <c r="H2" s="961"/>
      <c r="I2" s="961"/>
      <c r="J2" s="6"/>
      <c r="K2" s="6"/>
      <c r="L2" s="6"/>
      <c r="M2" s="6"/>
      <c r="N2" s="6"/>
      <c r="O2" s="6"/>
      <c r="P2" s="6"/>
      <c r="Q2" s="6"/>
      <c r="R2" s="6"/>
      <c r="S2" s="6"/>
      <c r="T2" s="6"/>
      <c r="U2" s="6"/>
    </row>
    <row r="3" spans="1:21" ht="15.75" x14ac:dyDescent="0.25">
      <c r="A3" s="962" t="s">
        <v>926</v>
      </c>
      <c r="B3" s="962"/>
      <c r="C3" s="962"/>
      <c r="D3" s="962"/>
      <c r="E3" s="962"/>
      <c r="F3" s="962"/>
      <c r="G3" s="962"/>
      <c r="H3" s="962"/>
      <c r="I3" s="962"/>
      <c r="J3" s="6"/>
      <c r="K3" s="6"/>
      <c r="L3" s="6"/>
      <c r="M3" s="6"/>
      <c r="N3" s="6"/>
      <c r="O3" s="6"/>
      <c r="P3" s="6"/>
      <c r="Q3" s="6"/>
      <c r="R3" s="6"/>
      <c r="S3" s="6"/>
      <c r="T3" s="6"/>
      <c r="U3" s="6"/>
    </row>
    <row r="4" spans="1:21" ht="15.75" x14ac:dyDescent="0.25">
      <c r="A4" s="487" t="s">
        <v>24</v>
      </c>
      <c r="B4" s="488"/>
      <c r="C4" s="489" t="s">
        <v>25</v>
      </c>
      <c r="D4" s="490"/>
      <c r="E4" s="489" t="s">
        <v>26</v>
      </c>
      <c r="F4" s="491" t="str">
        <f>IF(H9&gt;40,"A",IF(H9&gt;5,"B","C"))</f>
        <v>C</v>
      </c>
      <c r="G4" s="489" t="s">
        <v>201</v>
      </c>
      <c r="H4" s="1912"/>
      <c r="I4" s="1912"/>
      <c r="M4" s="6"/>
      <c r="N4" s="6"/>
      <c r="O4" s="6"/>
      <c r="P4" s="6"/>
      <c r="Q4" s="6"/>
      <c r="R4" s="6"/>
      <c r="S4" s="6"/>
      <c r="T4" s="6"/>
      <c r="U4" s="6"/>
    </row>
    <row r="5" spans="1:21" ht="15.75" x14ac:dyDescent="0.25">
      <c r="A5" s="492" t="s">
        <v>27</v>
      </c>
      <c r="B5" s="493"/>
      <c r="M5" s="6"/>
      <c r="N5" s="6"/>
      <c r="O5" s="6"/>
      <c r="P5" s="6"/>
      <c r="Q5" s="6"/>
      <c r="R5" s="6"/>
      <c r="S5" s="6"/>
      <c r="T5" s="6"/>
      <c r="U5" s="6"/>
    </row>
    <row r="6" spans="1:21" s="9" customFormat="1" ht="16.5" thickBot="1" x14ac:dyDescent="0.3">
      <c r="A6" s="494"/>
      <c r="B6" s="495"/>
      <c r="C6" s="101"/>
      <c r="D6" s="101"/>
      <c r="E6" s="101"/>
      <c r="F6" s="101"/>
      <c r="G6" s="101"/>
      <c r="H6" s="101"/>
      <c r="I6" s="101"/>
    </row>
    <row r="7" spans="1:21" ht="18" x14ac:dyDescent="0.25">
      <c r="A7" s="966" t="s">
        <v>723</v>
      </c>
      <c r="B7" s="967"/>
      <c r="C7" s="967"/>
      <c r="D7" s="967"/>
      <c r="E7" s="967"/>
      <c r="F7" s="967"/>
      <c r="G7" s="967"/>
      <c r="H7" s="967"/>
      <c r="I7" s="968"/>
      <c r="J7" s="6"/>
      <c r="K7" s="6"/>
      <c r="L7" s="6"/>
      <c r="M7" s="6"/>
      <c r="N7" s="6"/>
      <c r="O7" s="6"/>
      <c r="P7" s="6"/>
      <c r="Q7" s="6"/>
      <c r="R7" s="6"/>
      <c r="S7" s="6"/>
      <c r="T7" s="6"/>
      <c r="U7" s="6"/>
    </row>
    <row r="8" spans="1:21" x14ac:dyDescent="0.25">
      <c r="A8" s="496"/>
      <c r="B8" s="497"/>
      <c r="C8" s="10"/>
      <c r="D8" s="10"/>
      <c r="E8" s="10"/>
      <c r="F8" s="10"/>
      <c r="G8" s="10"/>
      <c r="H8" s="10"/>
      <c r="I8" s="11"/>
      <c r="J8" s="6"/>
      <c r="K8" s="6"/>
      <c r="L8" s="6"/>
      <c r="M8" s="6"/>
      <c r="N8" s="6"/>
      <c r="O8" s="6"/>
      <c r="P8" s="6"/>
      <c r="Q8" s="6"/>
      <c r="R8" s="6"/>
      <c r="S8" s="6"/>
      <c r="T8" s="6"/>
      <c r="U8" s="6"/>
    </row>
    <row r="9" spans="1:21" x14ac:dyDescent="0.25">
      <c r="A9" s="498">
        <v>1</v>
      </c>
      <c r="B9" s="957" t="s">
        <v>963</v>
      </c>
      <c r="C9" s="957"/>
      <c r="D9" s="957"/>
      <c r="E9" s="957"/>
      <c r="F9" s="957"/>
      <c r="G9" s="957"/>
      <c r="H9" s="1908"/>
      <c r="I9" s="1909"/>
      <c r="J9" s="6"/>
      <c r="K9" s="6"/>
      <c r="L9" s="6"/>
      <c r="M9" s="6"/>
      <c r="N9" s="6"/>
      <c r="O9" s="6"/>
      <c r="P9" s="6"/>
      <c r="Q9" s="6"/>
      <c r="R9" s="6"/>
      <c r="S9" s="6"/>
      <c r="T9" s="6"/>
      <c r="U9" s="6"/>
    </row>
    <row r="10" spans="1:21" x14ac:dyDescent="0.25">
      <c r="A10" s="498"/>
      <c r="B10" s="958" t="s">
        <v>30</v>
      </c>
      <c r="C10" s="959"/>
      <c r="D10" s="959"/>
      <c r="E10" s="959"/>
      <c r="F10" s="959"/>
      <c r="G10" s="960"/>
      <c r="H10" s="1908"/>
      <c r="I10" s="1909"/>
      <c r="J10" s="6"/>
      <c r="K10" s="6"/>
      <c r="L10" s="6"/>
      <c r="M10" s="6"/>
      <c r="N10" s="6"/>
      <c r="O10" s="6"/>
      <c r="P10" s="6"/>
      <c r="Q10" s="6"/>
      <c r="R10" s="6"/>
      <c r="S10" s="6"/>
      <c r="T10" s="6"/>
      <c r="U10" s="6"/>
    </row>
    <row r="11" spans="1:21" x14ac:dyDescent="0.25">
      <c r="A11" s="498"/>
      <c r="B11" s="958" t="s">
        <v>31</v>
      </c>
      <c r="C11" s="959"/>
      <c r="D11" s="959"/>
      <c r="E11" s="959"/>
      <c r="F11" s="959"/>
      <c r="G11" s="960"/>
      <c r="H11" s="1910">
        <f>H12+H13</f>
        <v>0</v>
      </c>
      <c r="I11" s="1911"/>
      <c r="J11" s="6"/>
      <c r="K11" s="6"/>
      <c r="L11" s="6"/>
      <c r="M11" s="6"/>
      <c r="N11" s="6"/>
      <c r="O11" s="6"/>
      <c r="P11" s="6"/>
      <c r="Q11" s="6"/>
      <c r="R11" s="6"/>
      <c r="S11" s="6"/>
      <c r="T11" s="6"/>
      <c r="U11" s="6"/>
    </row>
    <row r="12" spans="1:21" x14ac:dyDescent="0.25">
      <c r="A12" s="498"/>
      <c r="B12" s="947" t="s">
        <v>32</v>
      </c>
      <c r="C12" s="948"/>
      <c r="D12" s="948"/>
      <c r="E12" s="948"/>
      <c r="F12" s="948"/>
      <c r="G12" s="949"/>
      <c r="H12" s="1908"/>
      <c r="I12" s="1909"/>
      <c r="J12" s="6"/>
      <c r="K12" s="6"/>
      <c r="L12" s="6"/>
      <c r="M12" s="6"/>
      <c r="N12" s="6"/>
      <c r="O12" s="6"/>
      <c r="P12" s="6"/>
      <c r="Q12" s="6"/>
      <c r="R12" s="6"/>
      <c r="S12" s="6"/>
      <c r="T12" s="6"/>
      <c r="U12" s="6"/>
    </row>
    <row r="13" spans="1:21" x14ac:dyDescent="0.25">
      <c r="A13" s="498"/>
      <c r="B13" s="947" t="s">
        <v>832</v>
      </c>
      <c r="C13" s="948"/>
      <c r="D13" s="948"/>
      <c r="E13" s="948"/>
      <c r="F13" s="948"/>
      <c r="G13" s="949"/>
      <c r="H13" s="1908"/>
      <c r="I13" s="1909"/>
      <c r="J13" s="6"/>
      <c r="K13" s="6"/>
      <c r="L13" s="6"/>
      <c r="M13" s="6"/>
      <c r="N13" s="6"/>
      <c r="O13" s="6"/>
      <c r="P13" s="6"/>
      <c r="Q13" s="6"/>
      <c r="R13" s="6"/>
      <c r="S13" s="6"/>
      <c r="T13" s="6"/>
      <c r="U13" s="6"/>
    </row>
    <row r="14" spans="1:21" ht="15.75" x14ac:dyDescent="0.25">
      <c r="A14" s="498"/>
      <c r="B14" s="952" t="s">
        <v>33</v>
      </c>
      <c r="C14" s="953"/>
      <c r="D14" s="953"/>
      <c r="E14" s="953"/>
      <c r="F14" s="953"/>
      <c r="G14" s="954"/>
      <c r="H14" s="1910">
        <f>SUM(H10:I11)</f>
        <v>0</v>
      </c>
      <c r="I14" s="1911"/>
      <c r="J14" s="6"/>
      <c r="K14" s="6"/>
      <c r="L14" s="6"/>
      <c r="M14" s="6"/>
      <c r="N14" s="6"/>
      <c r="O14" s="6"/>
      <c r="P14" s="6"/>
      <c r="Q14" s="6"/>
      <c r="R14" s="6"/>
      <c r="S14" s="6"/>
      <c r="T14" s="6"/>
      <c r="U14" s="6"/>
    </row>
    <row r="15" spans="1:21" ht="15.75" thickBot="1" x14ac:dyDescent="0.3">
      <c r="A15" s="499">
        <v>2</v>
      </c>
      <c r="B15" s="970" t="s">
        <v>34</v>
      </c>
      <c r="C15" s="970"/>
      <c r="D15" s="970"/>
      <c r="E15" s="970"/>
      <c r="F15" s="970"/>
      <c r="G15" s="970"/>
      <c r="H15" s="1903"/>
      <c r="I15" s="1904"/>
      <c r="J15" s="6"/>
      <c r="K15" s="6"/>
      <c r="L15" s="6"/>
      <c r="M15" s="6"/>
      <c r="N15" s="6"/>
      <c r="O15" s="6"/>
      <c r="P15" s="6"/>
      <c r="Q15" s="6"/>
      <c r="R15" s="6"/>
      <c r="S15" s="6"/>
      <c r="T15" s="6"/>
      <c r="U15" s="6"/>
    </row>
    <row r="16" spans="1:21" x14ac:dyDescent="0.25">
      <c r="A16" s="499">
        <v>3</v>
      </c>
      <c r="B16" s="970" t="s">
        <v>35</v>
      </c>
      <c r="C16" s="970"/>
      <c r="D16" s="970"/>
      <c r="E16" s="970"/>
      <c r="F16" s="970"/>
      <c r="G16" s="970"/>
      <c r="H16" s="1903"/>
      <c r="I16" s="1904"/>
      <c r="J16" s="6"/>
      <c r="K16" s="6"/>
      <c r="L16" s="6"/>
      <c r="M16" s="989" t="s">
        <v>862</v>
      </c>
      <c r="N16" s="990"/>
      <c r="O16" s="990"/>
      <c r="P16" s="991"/>
      <c r="Q16" s="995" t="s">
        <v>850</v>
      </c>
      <c r="R16" s="996"/>
      <c r="S16" s="995" t="s">
        <v>851</v>
      </c>
      <c r="T16" s="1951"/>
      <c r="U16" s="1952"/>
    </row>
    <row r="17" spans="1:21" ht="30" x14ac:dyDescent="0.25">
      <c r="A17" s="499">
        <v>4</v>
      </c>
      <c r="B17" s="970" t="s">
        <v>724</v>
      </c>
      <c r="C17" s="970"/>
      <c r="D17" s="970"/>
      <c r="E17" s="970"/>
      <c r="F17" s="970"/>
      <c r="G17" s="970"/>
      <c r="H17" s="1903"/>
      <c r="I17" s="1904"/>
      <c r="J17" s="6"/>
      <c r="K17" s="6"/>
      <c r="L17" s="6"/>
      <c r="M17" s="992"/>
      <c r="N17" s="993"/>
      <c r="O17" s="993"/>
      <c r="P17" s="994"/>
      <c r="Q17" s="871">
        <v>2013</v>
      </c>
      <c r="R17" s="871" t="s">
        <v>928</v>
      </c>
      <c r="S17" s="871">
        <v>2015</v>
      </c>
      <c r="T17" s="871">
        <v>2016</v>
      </c>
      <c r="U17" s="885">
        <v>2017</v>
      </c>
    </row>
    <row r="18" spans="1:21" ht="33" customHeight="1" thickBot="1" x14ac:dyDescent="0.3">
      <c r="A18" s="500">
        <v>5</v>
      </c>
      <c r="B18" s="1905" t="s">
        <v>207</v>
      </c>
      <c r="C18" s="1905"/>
      <c r="D18" s="1905"/>
      <c r="E18" s="1905"/>
      <c r="F18" s="1905"/>
      <c r="G18" s="1905"/>
      <c r="H18" s="1906"/>
      <c r="I18" s="1907"/>
      <c r="J18" s="6"/>
      <c r="K18" s="6"/>
      <c r="L18" s="6"/>
      <c r="M18" s="607" t="s">
        <v>841</v>
      </c>
      <c r="N18" s="601"/>
      <c r="O18" s="601"/>
      <c r="P18" s="602"/>
      <c r="Q18" s="613"/>
      <c r="R18" s="613"/>
      <c r="S18" s="613"/>
      <c r="T18" s="613"/>
      <c r="U18" s="614"/>
    </row>
    <row r="19" spans="1:21" s="9" customFormat="1" ht="33" customHeight="1" thickBot="1" x14ac:dyDescent="0.3">
      <c r="A19" s="548"/>
      <c r="B19" s="593"/>
      <c r="C19" s="593"/>
      <c r="D19" s="593"/>
      <c r="E19" s="593"/>
      <c r="F19" s="593"/>
      <c r="G19" s="593"/>
      <c r="H19" s="594"/>
      <c r="I19" s="595"/>
      <c r="M19" s="607" t="s">
        <v>842</v>
      </c>
      <c r="N19" s="601"/>
      <c r="O19" s="601"/>
      <c r="P19" s="602"/>
      <c r="Q19" s="613"/>
      <c r="R19" s="613"/>
      <c r="S19" s="613"/>
      <c r="T19" s="613"/>
      <c r="U19" s="614"/>
    </row>
    <row r="20" spans="1:21" ht="75.75" thickBot="1" x14ac:dyDescent="0.3">
      <c r="A20" s="1753" t="s">
        <v>861</v>
      </c>
      <c r="B20" s="1754"/>
      <c r="C20" s="1754"/>
      <c r="D20" s="1754"/>
      <c r="E20" s="1754"/>
      <c r="F20" s="1754"/>
      <c r="G20" s="1755"/>
      <c r="H20" s="714" t="s">
        <v>654</v>
      </c>
      <c r="I20" s="714" t="s">
        <v>962</v>
      </c>
      <c r="J20" s="714" t="s">
        <v>833</v>
      </c>
      <c r="K20" s="715" t="s">
        <v>834</v>
      </c>
      <c r="L20" s="6"/>
      <c r="M20" s="608" t="s">
        <v>844</v>
      </c>
      <c r="N20" s="603"/>
      <c r="O20" s="603"/>
      <c r="P20" s="604"/>
      <c r="Q20" s="564"/>
      <c r="R20" s="564"/>
      <c r="S20" s="479"/>
      <c r="T20" s="479"/>
      <c r="U20" s="614"/>
    </row>
    <row r="21" spans="1:21" x14ac:dyDescent="0.25">
      <c r="A21" s="1398" t="s">
        <v>725</v>
      </c>
      <c r="B21" s="957"/>
      <c r="C21" s="957"/>
      <c r="D21" s="957"/>
      <c r="E21" s="957"/>
      <c r="F21" s="957"/>
      <c r="G21" s="1902"/>
      <c r="H21" s="712"/>
      <c r="I21" s="712"/>
      <c r="J21" s="712"/>
      <c r="K21" s="713"/>
      <c r="L21" s="6"/>
      <c r="M21" s="608" t="s">
        <v>859</v>
      </c>
      <c r="N21" s="603"/>
      <c r="O21" s="603"/>
      <c r="P21" s="604"/>
      <c r="Q21" s="565"/>
      <c r="R21" s="565"/>
      <c r="S21" s="479"/>
      <c r="T21" s="479"/>
      <c r="U21" s="614"/>
    </row>
    <row r="22" spans="1:21" x14ac:dyDescent="0.25">
      <c r="A22" s="969" t="s">
        <v>726</v>
      </c>
      <c r="B22" s="970"/>
      <c r="C22" s="970"/>
      <c r="D22" s="970"/>
      <c r="E22" s="970"/>
      <c r="F22" s="970"/>
      <c r="G22" s="958"/>
      <c r="H22" s="565"/>
      <c r="I22" s="565"/>
      <c r="J22" s="564"/>
      <c r="K22" s="596"/>
      <c r="L22" s="6"/>
      <c r="M22" s="608" t="s">
        <v>860</v>
      </c>
      <c r="N22" s="603"/>
      <c r="O22" s="603"/>
      <c r="P22" s="604"/>
      <c r="Q22" s="565"/>
      <c r="R22" s="565"/>
      <c r="S22" s="479"/>
      <c r="T22" s="479"/>
      <c r="U22" s="614"/>
    </row>
    <row r="23" spans="1:21" x14ac:dyDescent="0.25">
      <c r="A23" s="969" t="s">
        <v>727</v>
      </c>
      <c r="B23" s="970"/>
      <c r="C23" s="970"/>
      <c r="D23" s="970"/>
      <c r="E23" s="970"/>
      <c r="F23" s="970"/>
      <c r="G23" s="958"/>
      <c r="H23" s="565"/>
      <c r="I23" s="565"/>
      <c r="J23" s="564"/>
      <c r="K23" s="596"/>
      <c r="L23" s="6"/>
      <c r="M23" s="609" t="s">
        <v>843</v>
      </c>
      <c r="N23" s="605"/>
      <c r="O23" s="605"/>
      <c r="P23" s="606"/>
      <c r="Q23" s="565"/>
      <c r="R23" s="565"/>
      <c r="S23" s="479"/>
      <c r="T23" s="479"/>
      <c r="U23" s="614"/>
    </row>
    <row r="24" spans="1:21" x14ac:dyDescent="0.25">
      <c r="A24" s="969" t="s">
        <v>36</v>
      </c>
      <c r="B24" s="970"/>
      <c r="C24" s="970"/>
      <c r="D24" s="970"/>
      <c r="E24" s="970"/>
      <c r="F24" s="970"/>
      <c r="G24" s="958"/>
      <c r="H24" s="565"/>
      <c r="I24" s="565"/>
      <c r="J24" s="564"/>
      <c r="K24" s="596"/>
      <c r="L24" s="6"/>
      <c r="M24" s="609" t="s">
        <v>845</v>
      </c>
      <c r="N24" s="605"/>
      <c r="O24" s="605"/>
      <c r="P24" s="606"/>
      <c r="Q24" s="565"/>
      <c r="R24" s="565"/>
      <c r="S24" s="479"/>
      <c r="T24" s="479"/>
      <c r="U24" s="614"/>
    </row>
    <row r="25" spans="1:21" x14ac:dyDescent="0.25">
      <c r="A25" s="969" t="s">
        <v>828</v>
      </c>
      <c r="B25" s="970"/>
      <c r="C25" s="970"/>
      <c r="D25" s="970"/>
      <c r="E25" s="970"/>
      <c r="F25" s="970"/>
      <c r="G25" s="958"/>
      <c r="H25" s="565"/>
      <c r="I25" s="565"/>
      <c r="J25" s="564"/>
      <c r="K25" s="596"/>
      <c r="L25" s="6"/>
      <c r="M25" s="609" t="s">
        <v>848</v>
      </c>
      <c r="N25" s="605"/>
      <c r="O25" s="605"/>
      <c r="P25" s="606"/>
      <c r="Q25" s="565"/>
      <c r="R25" s="565"/>
      <c r="S25" s="479"/>
      <c r="T25" s="479"/>
      <c r="U25" s="614"/>
    </row>
    <row r="26" spans="1:21" x14ac:dyDescent="0.25">
      <c r="A26" s="969" t="s">
        <v>728</v>
      </c>
      <c r="B26" s="970"/>
      <c r="C26" s="970"/>
      <c r="D26" s="970"/>
      <c r="E26" s="970"/>
      <c r="F26" s="970"/>
      <c r="G26" s="958"/>
      <c r="H26" s="565"/>
      <c r="I26" s="565"/>
      <c r="J26" s="564"/>
      <c r="K26" s="596"/>
      <c r="M26" s="608" t="s">
        <v>846</v>
      </c>
      <c r="N26" s="603"/>
      <c r="O26" s="603"/>
      <c r="P26" s="604"/>
      <c r="Q26" s="565"/>
      <c r="R26" s="565"/>
      <c r="S26" s="479"/>
      <c r="T26" s="479"/>
      <c r="U26" s="614"/>
    </row>
    <row r="27" spans="1:21" x14ac:dyDescent="0.25">
      <c r="A27" s="969" t="s">
        <v>729</v>
      </c>
      <c r="B27" s="970"/>
      <c r="C27" s="970"/>
      <c r="D27" s="970"/>
      <c r="E27" s="970"/>
      <c r="F27" s="970"/>
      <c r="G27" s="970"/>
      <c r="H27" s="565"/>
      <c r="I27" s="565"/>
      <c r="J27" s="564"/>
      <c r="K27" s="596"/>
      <c r="M27" s="608" t="s">
        <v>847</v>
      </c>
      <c r="N27" s="603"/>
      <c r="O27" s="603"/>
      <c r="P27" s="604"/>
      <c r="Q27" s="565"/>
      <c r="R27" s="565"/>
      <c r="S27" s="479"/>
      <c r="T27" s="479"/>
      <c r="U27" s="614"/>
    </row>
    <row r="28" spans="1:21" ht="15.75" thickBot="1" x14ac:dyDescent="0.3">
      <c r="A28" s="969" t="s">
        <v>836</v>
      </c>
      <c r="B28" s="970"/>
      <c r="C28" s="970"/>
      <c r="D28" s="970"/>
      <c r="E28" s="970"/>
      <c r="F28" s="970"/>
      <c r="G28" s="970"/>
      <c r="H28" s="565"/>
      <c r="I28" s="565"/>
      <c r="J28" s="479"/>
      <c r="K28" s="597"/>
      <c r="M28" s="610" t="s">
        <v>849</v>
      </c>
      <c r="N28" s="611"/>
      <c r="O28" s="611"/>
      <c r="P28" s="612"/>
      <c r="Q28" s="598"/>
      <c r="R28" s="598"/>
      <c r="S28" s="599"/>
      <c r="T28" s="599"/>
      <c r="U28" s="615"/>
    </row>
    <row r="29" spans="1:21" ht="15.75" thickBot="1" x14ac:dyDescent="0.3">
      <c r="A29" s="1898" t="s">
        <v>182</v>
      </c>
      <c r="B29" s="1899"/>
      <c r="C29" s="1899"/>
      <c r="D29" s="1899"/>
      <c r="E29" s="1899"/>
      <c r="F29" s="1899"/>
      <c r="G29" s="1899"/>
      <c r="H29" s="598"/>
      <c r="I29" s="598"/>
      <c r="J29" s="599"/>
      <c r="K29" s="600"/>
      <c r="M29" s="6"/>
      <c r="N29" s="6"/>
      <c r="O29" s="6"/>
      <c r="P29" s="6"/>
      <c r="Q29" s="6"/>
      <c r="R29" s="6"/>
      <c r="S29" s="6"/>
      <c r="T29" s="6"/>
      <c r="U29" s="6"/>
    </row>
    <row r="30" spans="1:21" x14ac:dyDescent="0.25">
      <c r="M30" s="6"/>
      <c r="N30" s="6"/>
      <c r="O30" s="6"/>
      <c r="P30" s="6"/>
      <c r="Q30" s="6"/>
      <c r="R30" s="6"/>
      <c r="S30" s="6"/>
      <c r="T30" s="6"/>
      <c r="U30" s="6"/>
    </row>
    <row r="31" spans="1:21" ht="31.5" customHeight="1" x14ac:dyDescent="0.25">
      <c r="A31" s="980" t="s">
        <v>37</v>
      </c>
      <c r="B31" s="981"/>
      <c r="C31" s="981"/>
      <c r="D31" s="981"/>
      <c r="E31" s="981"/>
      <c r="F31" s="981"/>
      <c r="G31" s="981"/>
      <c r="H31" s="981"/>
      <c r="I31" s="981"/>
      <c r="J31" s="981"/>
      <c r="K31" s="981"/>
      <c r="L31" s="981"/>
      <c r="M31" s="981"/>
      <c r="N31" s="981"/>
      <c r="O31" s="981"/>
      <c r="P31" s="981"/>
      <c r="Q31" s="981"/>
      <c r="R31" s="844"/>
      <c r="S31" s="12"/>
    </row>
    <row r="32" spans="1:21" ht="15.75" thickBot="1" x14ac:dyDescent="0.3"/>
    <row r="33" spans="1:21" ht="18" x14ac:dyDescent="0.25">
      <c r="A33" s="982" t="s">
        <v>257</v>
      </c>
      <c r="B33" s="983"/>
      <c r="C33" s="983"/>
      <c r="D33" s="983"/>
      <c r="E33" s="983"/>
      <c r="F33" s="983"/>
      <c r="G33" s="983"/>
      <c r="H33" s="984"/>
      <c r="I33" s="1896" t="s">
        <v>805</v>
      </c>
      <c r="J33" s="1897"/>
      <c r="K33" s="1897"/>
      <c r="L33" s="1893" t="s">
        <v>807</v>
      </c>
      <c r="M33" s="1893"/>
      <c r="O33" s="6"/>
      <c r="P33" s="6"/>
      <c r="Q33" s="6"/>
      <c r="R33" s="6"/>
      <c r="S33" s="6"/>
      <c r="T33" s="6"/>
      <c r="U33" s="6"/>
    </row>
    <row r="34" spans="1:21" ht="15" customHeight="1" x14ac:dyDescent="0.25">
      <c r="A34" s="501"/>
      <c r="B34" s="71"/>
      <c r="C34" s="6"/>
      <c r="D34" s="13"/>
      <c r="E34" s="13"/>
      <c r="F34" s="13"/>
      <c r="G34" s="13"/>
      <c r="H34" s="13"/>
      <c r="I34" s="997" t="s">
        <v>40</v>
      </c>
      <c r="J34" s="998"/>
      <c r="K34" s="999"/>
      <c r="L34" s="1894"/>
      <c r="M34" s="1894"/>
      <c r="O34" s="6"/>
      <c r="P34" s="6"/>
      <c r="Q34" s="6"/>
      <c r="R34" s="6"/>
      <c r="S34" s="6"/>
      <c r="T34" s="6"/>
      <c r="U34" s="6"/>
    </row>
    <row r="35" spans="1:21" s="899" customFormat="1" ht="25.5" customHeight="1" x14ac:dyDescent="0.25">
      <c r="A35" s="1005" t="s">
        <v>42</v>
      </c>
      <c r="B35" s="1006"/>
      <c r="C35" s="1007" t="s">
        <v>730</v>
      </c>
      <c r="D35" s="1008" t="s">
        <v>808</v>
      </c>
      <c r="E35" s="1008" t="s">
        <v>929</v>
      </c>
      <c r="F35" s="1022" t="s">
        <v>961</v>
      </c>
      <c r="G35" s="1023"/>
      <c r="H35" s="1024"/>
      <c r="I35" s="1025" t="s">
        <v>45</v>
      </c>
      <c r="J35" s="1025" t="s">
        <v>46</v>
      </c>
      <c r="K35" s="1025" t="s">
        <v>2</v>
      </c>
      <c r="L35" s="1894"/>
      <c r="M35" s="1894"/>
      <c r="N35" s="15"/>
    </row>
    <row r="36" spans="1:21" s="899" customFormat="1" ht="48" customHeight="1" x14ac:dyDescent="0.25">
      <c r="A36" s="1005"/>
      <c r="B36" s="1006"/>
      <c r="C36" s="1007"/>
      <c r="D36" s="1008"/>
      <c r="E36" s="1008"/>
      <c r="F36" s="16" t="s">
        <v>45</v>
      </c>
      <c r="G36" s="16" t="s">
        <v>46</v>
      </c>
      <c r="H36" s="846" t="s">
        <v>2</v>
      </c>
      <c r="I36" s="1026"/>
      <c r="J36" s="1026"/>
      <c r="K36" s="1026"/>
      <c r="L36" s="1895"/>
      <c r="M36" s="1895"/>
      <c r="N36" s="15"/>
    </row>
    <row r="37" spans="1:21" s="899" customFormat="1" ht="15.75" customHeight="1" x14ac:dyDescent="0.25">
      <c r="A37" s="1011" t="s">
        <v>49</v>
      </c>
      <c r="B37" s="1012"/>
      <c r="C37" s="17">
        <v>1</v>
      </c>
      <c r="D37" s="160"/>
      <c r="E37" s="160"/>
      <c r="F37" s="160"/>
      <c r="G37" s="160"/>
      <c r="H37" s="18">
        <f>SUM(+F37+G37)</f>
        <v>0</v>
      </c>
      <c r="I37" s="19">
        <f>$D$4*COUNTIF(H21,"No")*2500000*E37</f>
        <v>0</v>
      </c>
      <c r="J37" s="20">
        <f>$D$4*COUNTIF(H21,"Yes")*50000</f>
        <v>0</v>
      </c>
      <c r="K37" s="21">
        <f>(I37+J37)</f>
        <v>0</v>
      </c>
      <c r="L37" s="1887"/>
      <c r="M37" s="1888"/>
      <c r="N37" s="15"/>
    </row>
    <row r="38" spans="1:21" x14ac:dyDescent="0.25">
      <c r="A38" s="1011" t="s">
        <v>50</v>
      </c>
      <c r="B38" s="1012"/>
      <c r="C38" s="502"/>
      <c r="D38" s="160"/>
      <c r="E38" s="160"/>
      <c r="F38" s="168"/>
      <c r="G38" s="161"/>
      <c r="H38" s="18">
        <f>F38+G38</f>
        <v>0</v>
      </c>
      <c r="I38" s="8">
        <f>$D$4*E38*1500000</f>
        <v>0</v>
      </c>
      <c r="J38" s="8">
        <f>$D$4*(D38+E38)*150000</f>
        <v>0</v>
      </c>
      <c r="K38" s="8">
        <f>(I38+J38)</f>
        <v>0</v>
      </c>
      <c r="L38" s="1889"/>
      <c r="M38" s="1890"/>
      <c r="O38" s="6"/>
      <c r="P38" s="6"/>
      <c r="Q38" s="6"/>
      <c r="R38" s="6"/>
      <c r="S38" s="6"/>
      <c r="T38" s="6"/>
      <c r="U38" s="6"/>
    </row>
    <row r="39" spans="1:21" x14ac:dyDescent="0.25">
      <c r="A39" s="1013" t="s">
        <v>731</v>
      </c>
      <c r="B39" s="1014"/>
      <c r="C39" s="24"/>
      <c r="D39" s="25"/>
      <c r="E39" s="25"/>
      <c r="F39" s="25"/>
      <c r="G39" s="26"/>
      <c r="H39" s="27"/>
      <c r="I39" s="28"/>
      <c r="J39" s="28"/>
      <c r="K39" s="28"/>
      <c r="L39" s="1889"/>
      <c r="M39" s="1890"/>
      <c r="O39" s="6"/>
      <c r="P39" s="6"/>
      <c r="Q39" s="6"/>
      <c r="R39" s="6"/>
      <c r="S39" s="6"/>
      <c r="T39" s="6"/>
      <c r="U39" s="6"/>
    </row>
    <row r="40" spans="1:21" x14ac:dyDescent="0.25">
      <c r="A40" s="163" t="s">
        <v>202</v>
      </c>
      <c r="B40" s="160"/>
      <c r="C40" s="502"/>
      <c r="D40" s="160"/>
      <c r="E40" s="160"/>
      <c r="F40" s="160"/>
      <c r="G40" s="161"/>
      <c r="H40" s="18">
        <f t="shared" ref="H40:H48" si="0">F40+G40</f>
        <v>0</v>
      </c>
      <c r="I40" s="8">
        <f>$D$4*E40*(COUNTIF(B40,"Solid+Liquid+LPA")*6400000)+$D$4*E40*(COUNTIF(B40,"Solid")*1000000)+$D$4*E40*(COUNTIF(B40,"Liquid")*5000000)+$D$4*E40*(COUNTIF(B40,"LPA")*400000)+$D$4*E40*(COUNTIF(B40,"Solid+Liquid")*6000000)+$D$4*E40*(COUNTIF(B40,"Liquid+LPA")*5400000)+$D$4*E40*(COUNTIF(B40,"Solid+LPA")*1400000)</f>
        <v>0</v>
      </c>
      <c r="J40" s="8">
        <f>$D$4*D40*75000+$D$4*D40*(COUNTIF(B40,"Solid+Liquid+LPA")*75000)+$D$4*D40*(COUNTIF(B40,"Solid")*25000)+$D$4*D40*(COUNTIF(B40,"Liquid")*25000)+$D$4*D40*(COUNTIF(B40,"LPA")*25000)+$D$4*D40*(COUNTIF(B40,"Solid+Liquid")*50000)+$D$4*D40*(COUNTIF(B40,"Liquid+LPA")*50000)+$D$4*D40*(COUNTIF(B40,"Solid+LPA")*50000)</f>
        <v>0</v>
      </c>
      <c r="K40" s="8">
        <f t="shared" ref="K40:K48" si="1">SUM(I40:J40)</f>
        <v>0</v>
      </c>
      <c r="L40" s="1889"/>
      <c r="M40" s="1890"/>
      <c r="O40" s="6"/>
      <c r="P40" s="6"/>
      <c r="Q40" s="6"/>
      <c r="R40" s="6"/>
      <c r="S40" s="6"/>
      <c r="T40" s="6"/>
      <c r="U40" s="6"/>
    </row>
    <row r="41" spans="1:21" x14ac:dyDescent="0.25">
      <c r="A41" s="163" t="s">
        <v>203</v>
      </c>
      <c r="B41" s="160"/>
      <c r="C41" s="502"/>
      <c r="D41" s="160"/>
      <c r="E41" s="160"/>
      <c r="F41" s="160"/>
      <c r="G41" s="161"/>
      <c r="H41" s="18">
        <f t="shared" si="0"/>
        <v>0</v>
      </c>
      <c r="I41" s="8">
        <f>$D$4*E41*(COUNTIF(B41,"Solid+Liquid+LPA")*6400000)+$D$4*E41*(COUNTIF(B41,"Solid")*1000000)+$D$4*E41*(COUNTIF(B41,"Liquid")*5000000)+$D$4*E41*(COUNTIF(B41,"LPA")*400000)+$D$4*E41*(COUNTIF(B41,"Solid+Liquid")*6000000)+$D$4*E41*(COUNTIF(B41,"Liquid+LPA")*5400000)+$D$4*E41*(COUNTIF(B41,"Solid+LPA")*1400000)</f>
        <v>0</v>
      </c>
      <c r="J41" s="8">
        <f>$D$4*D41*75000+$D$4*D41*(COUNTIF(B41,"Solid+Liquid+LPA")*75000)+$D$4*D41*(COUNTIF(B41,"Solid")*25000)+$D$4*D41*(COUNTIF(B41,"Liquid")*25000)+$D$4*D41*(COUNTIF(B41,"LPA")*25000)+$D$4*D41*(COUNTIF(B41,"Solid+Liquid")*50000)+$D$4*D41*(COUNTIF(B41,"Liquid+LPA")*50000)+$D$4*D41*(COUNTIF(B41,"Solid+LPA")*50000)</f>
        <v>0</v>
      </c>
      <c r="K41" s="8">
        <f t="shared" si="1"/>
        <v>0</v>
      </c>
      <c r="L41" s="1889"/>
      <c r="M41" s="1890"/>
      <c r="O41" s="6"/>
      <c r="P41" s="6"/>
      <c r="Q41" s="6"/>
      <c r="R41" s="6"/>
      <c r="S41" s="6"/>
      <c r="T41" s="6"/>
      <c r="U41" s="6"/>
    </row>
    <row r="42" spans="1:21" x14ac:dyDescent="0.25">
      <c r="A42" s="163" t="s">
        <v>204</v>
      </c>
      <c r="B42" s="160"/>
      <c r="C42" s="502"/>
      <c r="D42" s="160"/>
      <c r="E42" s="160"/>
      <c r="F42" s="160"/>
      <c r="G42" s="161"/>
      <c r="H42" s="18">
        <f t="shared" si="0"/>
        <v>0</v>
      </c>
      <c r="I42" s="8">
        <f>$D$4*E42*(COUNTIF(B42,"Solid+Liquid+LPA")*6400000)+$D$4*E42*(COUNTIF(B42,"Solid")*1000000)+$D$4*E42*(COUNTIF(B42,"Liquid")*5000000)+$D$4*E42*(COUNTIF(B42,"LPA")*400000)+$D$4*E42*(COUNTIF(B42,"Solid+Liquid")*6000000)+$D$4*E42*(COUNTIF(B42,"Liquid+LPA")*5400000)+$D$4*E42*(COUNTIF(B42,"Solid+LPA")*1400000)</f>
        <v>0</v>
      </c>
      <c r="J42" s="8">
        <f>$D$4*D42*75000+$D$4*D42*(COUNTIF(B42,"Solid+Liquid+LPA")*75000)+$D$4*D42*(COUNTIF(B42,"Solid")*25000)+$D$4*D42*(COUNTIF(B42,"Liquid")*25000)+$D$4*D42*(COUNTIF(B42,"LPA")*25000)+$D$4*D42*(COUNTIF(B42,"Solid+Liquid")*50000)+$D$4*D42*(COUNTIF(B42,"Liquid+LPA")*50000)+$D$4*D42*(COUNTIF(B42,"Solid+LPA")*50000)</f>
        <v>0</v>
      </c>
      <c r="K42" s="8">
        <f t="shared" si="1"/>
        <v>0</v>
      </c>
      <c r="L42" s="1889"/>
      <c r="M42" s="1890"/>
      <c r="O42" s="6"/>
      <c r="P42" s="6"/>
      <c r="Q42" s="6"/>
      <c r="R42" s="6"/>
      <c r="S42" s="6"/>
      <c r="T42" s="6"/>
      <c r="U42" s="6"/>
    </row>
    <row r="43" spans="1:21" s="32" customFormat="1" ht="15.75" customHeight="1" x14ac:dyDescent="0.2">
      <c r="A43" s="1011" t="s">
        <v>58</v>
      </c>
      <c r="B43" s="1012"/>
      <c r="C43" s="503">
        <v>1</v>
      </c>
      <c r="D43" s="504"/>
      <c r="E43" s="504"/>
      <c r="F43" s="504"/>
      <c r="G43" s="505"/>
      <c r="H43" s="18">
        <f t="shared" si="0"/>
        <v>0</v>
      </c>
      <c r="I43" s="19">
        <f>E43*$D$4*60000</f>
        <v>0</v>
      </c>
      <c r="J43" s="568" t="s">
        <v>788</v>
      </c>
      <c r="K43" s="8">
        <f t="shared" si="1"/>
        <v>0</v>
      </c>
      <c r="L43" s="1889"/>
      <c r="M43" s="1890"/>
    </row>
    <row r="44" spans="1:21" s="32" customFormat="1" x14ac:dyDescent="0.2">
      <c r="A44" s="1011" t="s">
        <v>59</v>
      </c>
      <c r="B44" s="1012"/>
      <c r="C44" s="566"/>
      <c r="D44" s="506"/>
      <c r="E44" s="504"/>
      <c r="F44" s="504"/>
      <c r="G44" s="504"/>
      <c r="H44" s="18">
        <f t="shared" si="0"/>
        <v>0</v>
      </c>
      <c r="I44" s="19">
        <f>$D$4*E44*100000</f>
        <v>0</v>
      </c>
      <c r="J44" s="19">
        <f>$D$4*(D44+E44)*10000</f>
        <v>0</v>
      </c>
      <c r="K44" s="8">
        <f t="shared" si="1"/>
        <v>0</v>
      </c>
      <c r="L44" s="1889"/>
      <c r="M44" s="1890"/>
    </row>
    <row r="45" spans="1:21" s="32" customFormat="1" x14ac:dyDescent="0.2">
      <c r="A45" s="1011" t="s">
        <v>60</v>
      </c>
      <c r="B45" s="1012"/>
      <c r="C45" s="566"/>
      <c r="D45" s="504"/>
      <c r="E45" s="504"/>
      <c r="F45" s="504"/>
      <c r="G45" s="504"/>
      <c r="H45" s="18">
        <f t="shared" si="0"/>
        <v>0</v>
      </c>
      <c r="I45" s="19">
        <f>$D$4*E45*60000</f>
        <v>0</v>
      </c>
      <c r="J45" s="19">
        <f>$D$4*(D45+E45)*5000</f>
        <v>0</v>
      </c>
      <c r="K45" s="8">
        <f t="shared" si="1"/>
        <v>0</v>
      </c>
      <c r="L45" s="1889"/>
      <c r="M45" s="1890"/>
      <c r="N45" s="33"/>
    </row>
    <row r="46" spans="1:21" s="32" customFormat="1" ht="30" customHeight="1" x14ac:dyDescent="0.2">
      <c r="A46" s="1900" t="s">
        <v>61</v>
      </c>
      <c r="B46" s="1901"/>
      <c r="C46" s="507"/>
      <c r="D46" s="504"/>
      <c r="E46" s="504"/>
      <c r="F46" s="504"/>
      <c r="G46" s="504"/>
      <c r="H46" s="18">
        <f t="shared" si="0"/>
        <v>0</v>
      </c>
      <c r="I46" s="19">
        <f>$D$4*E46*60000</f>
        <v>0</v>
      </c>
      <c r="J46" s="19">
        <f>$D$4*D46*5000</f>
        <v>0</v>
      </c>
      <c r="K46" s="8">
        <f t="shared" si="1"/>
        <v>0</v>
      </c>
      <c r="L46" s="1889"/>
      <c r="M46" s="1890"/>
      <c r="N46" s="33"/>
    </row>
    <row r="47" spans="1:21" s="32" customFormat="1" x14ac:dyDescent="0.2">
      <c r="A47" s="1045" t="s">
        <v>806</v>
      </c>
      <c r="B47" s="1046"/>
      <c r="C47" s="508"/>
      <c r="D47" s="509"/>
      <c r="E47" s="509"/>
      <c r="F47" s="509"/>
      <c r="G47" s="509"/>
      <c r="H47" s="510">
        <f t="shared" si="0"/>
        <v>0</v>
      </c>
      <c r="I47" s="511">
        <f>$D$4*E47*(60000+50000)</f>
        <v>0</v>
      </c>
      <c r="J47" s="511">
        <f>$D$4*D47*5000</f>
        <v>0</v>
      </c>
      <c r="K47" s="31">
        <f t="shared" si="1"/>
        <v>0</v>
      </c>
      <c r="L47" s="1889"/>
      <c r="M47" s="1890"/>
      <c r="N47" s="33"/>
    </row>
    <row r="48" spans="1:21" s="32" customFormat="1" ht="15.75" thickBot="1" x14ac:dyDescent="0.25">
      <c r="A48" s="1045" t="s">
        <v>182</v>
      </c>
      <c r="B48" s="1046"/>
      <c r="C48" s="508"/>
      <c r="D48" s="509"/>
      <c r="E48" s="509"/>
      <c r="F48" s="509"/>
      <c r="G48" s="509"/>
      <c r="H48" s="510">
        <f t="shared" si="0"/>
        <v>0</v>
      </c>
      <c r="I48" s="511">
        <f>$D$4*E48*(60000+50000)</f>
        <v>0</v>
      </c>
      <c r="J48" s="511">
        <f>$D$4*D48*5000</f>
        <v>0</v>
      </c>
      <c r="K48" s="31">
        <f t="shared" si="1"/>
        <v>0</v>
      </c>
      <c r="L48" s="1889"/>
      <c r="M48" s="1890"/>
      <c r="N48" s="33"/>
    </row>
    <row r="49" spans="1:21" s="32" customFormat="1" ht="19.5" thickBot="1" x14ac:dyDescent="0.25">
      <c r="A49" s="1027" t="s">
        <v>2</v>
      </c>
      <c r="B49" s="1028"/>
      <c r="C49" s="35"/>
      <c r="D49" s="36"/>
      <c r="E49" s="36"/>
      <c r="F49" s="37">
        <f t="shared" ref="F49:K49" si="2">SUM(F37:F48)</f>
        <v>0</v>
      </c>
      <c r="G49" s="37">
        <f t="shared" si="2"/>
        <v>0</v>
      </c>
      <c r="H49" s="38">
        <f t="shared" si="2"/>
        <v>0</v>
      </c>
      <c r="I49" s="37">
        <f t="shared" si="2"/>
        <v>0</v>
      </c>
      <c r="J49" s="37">
        <f t="shared" si="2"/>
        <v>0</v>
      </c>
      <c r="K49" s="37">
        <f t="shared" si="2"/>
        <v>0</v>
      </c>
      <c r="L49" s="1891"/>
      <c r="M49" s="1892"/>
      <c r="N49" s="33"/>
    </row>
    <row r="50" spans="1:21" s="32" customFormat="1" ht="13.5" thickBot="1" x14ac:dyDescent="0.25">
      <c r="A50" s="61"/>
      <c r="B50" s="61"/>
      <c r="C50" s="41"/>
      <c r="D50" s="41"/>
      <c r="E50" s="41"/>
      <c r="F50" s="41"/>
      <c r="G50" s="41"/>
      <c r="H50" s="42"/>
      <c r="I50" s="42"/>
      <c r="J50" s="43"/>
      <c r="K50" s="43"/>
      <c r="L50" s="44"/>
      <c r="M50" s="45"/>
      <c r="N50" s="33"/>
    </row>
    <row r="51" spans="1:21" ht="18" x14ac:dyDescent="0.25">
      <c r="A51" s="1418" t="s">
        <v>732</v>
      </c>
      <c r="B51" s="1419"/>
      <c r="C51" s="1419"/>
      <c r="D51" s="1419"/>
      <c r="E51" s="1419"/>
      <c r="F51" s="1419"/>
      <c r="G51" s="1419"/>
      <c r="H51" s="1642"/>
      <c r="I51" s="1860" t="s">
        <v>807</v>
      </c>
      <c r="J51" s="1861"/>
      <c r="K51" s="1861"/>
      <c r="L51" s="1861"/>
      <c r="M51" s="1862"/>
      <c r="N51" s="6"/>
      <c r="O51" s="6"/>
      <c r="P51" s="6"/>
      <c r="Q51" s="6"/>
      <c r="R51" s="6"/>
      <c r="S51" s="6"/>
      <c r="T51" s="6"/>
      <c r="U51" s="6"/>
    </row>
    <row r="52" spans="1:21" ht="36" customHeight="1" x14ac:dyDescent="0.25">
      <c r="A52" s="1061" t="s">
        <v>42</v>
      </c>
      <c r="B52" s="1041"/>
      <c r="C52" s="1007" t="s">
        <v>733</v>
      </c>
      <c r="D52" s="1057" t="s">
        <v>814</v>
      </c>
      <c r="E52" s="1057"/>
      <c r="F52" s="1041" t="s">
        <v>960</v>
      </c>
      <c r="G52" s="1885" t="s">
        <v>959</v>
      </c>
      <c r="H52" s="1886"/>
      <c r="I52" s="1879"/>
      <c r="J52" s="1880"/>
      <c r="K52" s="1880"/>
      <c r="L52" s="1880"/>
      <c r="M52" s="1881"/>
      <c r="N52" s="6"/>
      <c r="O52" s="6"/>
      <c r="P52" s="6"/>
      <c r="Q52" s="6"/>
      <c r="R52" s="6"/>
      <c r="S52" s="6"/>
      <c r="T52" s="6"/>
      <c r="U52" s="6"/>
    </row>
    <row r="53" spans="1:21" s="899" customFormat="1" ht="56.25" customHeight="1" x14ac:dyDescent="0.25">
      <c r="A53" s="1061"/>
      <c r="B53" s="1041"/>
      <c r="C53" s="1007"/>
      <c r="D53" s="570" t="s">
        <v>809</v>
      </c>
      <c r="E53" s="848" t="s">
        <v>810</v>
      </c>
      <c r="F53" s="1041"/>
      <c r="G53" s="570" t="s">
        <v>811</v>
      </c>
      <c r="H53" s="735" t="s">
        <v>813</v>
      </c>
      <c r="I53" s="1879"/>
      <c r="J53" s="1880"/>
      <c r="K53" s="1880"/>
      <c r="L53" s="1880"/>
      <c r="M53" s="1881"/>
    </row>
    <row r="54" spans="1:21" s="32" customFormat="1" ht="30" customHeight="1" x14ac:dyDescent="0.2">
      <c r="A54" s="1038" t="s">
        <v>65</v>
      </c>
      <c r="B54" s="1039"/>
      <c r="C54" s="512"/>
      <c r="D54" s="616"/>
      <c r="E54" s="616"/>
      <c r="F54" s="617"/>
      <c r="G54" s="617"/>
      <c r="H54" s="736"/>
      <c r="I54" s="1879"/>
      <c r="J54" s="1880"/>
      <c r="K54" s="1880"/>
      <c r="L54" s="1880"/>
      <c r="M54" s="1881"/>
    </row>
    <row r="55" spans="1:21" ht="39" customHeight="1" x14ac:dyDescent="0.25">
      <c r="A55" s="1038" t="s">
        <v>66</v>
      </c>
      <c r="B55" s="1039"/>
      <c r="C55" s="512"/>
      <c r="D55" s="616"/>
      <c r="E55" s="616"/>
      <c r="F55" s="617"/>
      <c r="G55" s="617"/>
      <c r="H55" s="736"/>
      <c r="I55" s="1879"/>
      <c r="J55" s="1880"/>
      <c r="K55" s="1880"/>
      <c r="L55" s="1880"/>
      <c r="M55" s="1881"/>
      <c r="N55" s="6"/>
      <c r="O55" s="6"/>
      <c r="P55" s="6"/>
      <c r="Q55" s="6"/>
      <c r="R55" s="6"/>
      <c r="S55" s="6"/>
      <c r="T55" s="6"/>
      <c r="U55" s="6"/>
    </row>
    <row r="56" spans="1:21" ht="26.25" customHeight="1" thickBot="1" x14ac:dyDescent="0.3">
      <c r="A56" s="1594" t="s">
        <v>67</v>
      </c>
      <c r="B56" s="1595"/>
      <c r="C56" s="513"/>
      <c r="D56" s="737"/>
      <c r="E56" s="737"/>
      <c r="F56" s="738"/>
      <c r="G56" s="738"/>
      <c r="H56" s="739"/>
      <c r="I56" s="1879"/>
      <c r="J56" s="1880"/>
      <c r="K56" s="1880"/>
      <c r="L56" s="1880"/>
      <c r="M56" s="1881"/>
      <c r="N56" s="6"/>
      <c r="O56" s="6"/>
      <c r="P56" s="6"/>
      <c r="Q56" s="6"/>
      <c r="R56" s="6"/>
      <c r="S56" s="6"/>
      <c r="T56" s="6"/>
      <c r="U56" s="6"/>
    </row>
    <row r="57" spans="1:21" ht="24" customHeight="1" thickBot="1" x14ac:dyDescent="0.3">
      <c r="A57" s="1585" t="s">
        <v>2</v>
      </c>
      <c r="B57" s="1586"/>
      <c r="C57" s="514">
        <f>300000*$D$4*(H9/10)</f>
        <v>0</v>
      </c>
      <c r="D57" s="853">
        <f>SUM(D54:D56)</f>
        <v>0</v>
      </c>
      <c r="E57" s="853">
        <f>SUM(E54:E56)</f>
        <v>0</v>
      </c>
      <c r="F57" s="853">
        <f>SUM(F54:F56)</f>
        <v>0</v>
      </c>
      <c r="G57" s="853">
        <f>SUM(G54:G56)</f>
        <v>0</v>
      </c>
      <c r="H57" s="740">
        <f>SUM(H54:H56)</f>
        <v>0</v>
      </c>
      <c r="I57" s="1882"/>
      <c r="J57" s="1883"/>
      <c r="K57" s="1883"/>
      <c r="L57" s="1883"/>
      <c r="M57" s="1884"/>
      <c r="N57" s="6"/>
      <c r="O57" s="6"/>
      <c r="P57" s="6"/>
      <c r="Q57" s="6"/>
      <c r="R57" s="6"/>
      <c r="S57" s="6"/>
      <c r="T57" s="6"/>
      <c r="U57" s="6"/>
    </row>
    <row r="58" spans="1:21" s="575" customFormat="1" ht="15.75" thickBot="1" x14ac:dyDescent="0.3">
      <c r="A58" s="573"/>
      <c r="B58" s="573"/>
      <c r="C58" s="574"/>
      <c r="D58" s="574"/>
      <c r="E58" s="574"/>
      <c r="F58" s="574"/>
      <c r="G58" s="574"/>
      <c r="H58" s="574"/>
      <c r="I58" s="574"/>
      <c r="J58" s="574"/>
      <c r="K58" s="574"/>
      <c r="L58" s="574"/>
      <c r="M58" s="574"/>
    </row>
    <row r="59" spans="1:21" ht="18" x14ac:dyDescent="0.25">
      <c r="A59" s="571" t="s">
        <v>734</v>
      </c>
      <c r="B59" s="572"/>
      <c r="C59" s="572"/>
      <c r="D59" s="572"/>
      <c r="E59" s="572"/>
      <c r="F59" s="572"/>
      <c r="G59" s="572"/>
      <c r="H59" s="572"/>
      <c r="I59" s="1598" t="s">
        <v>807</v>
      </c>
      <c r="J59" s="1599"/>
      <c r="K59" s="1599"/>
      <c r="L59" s="1599"/>
      <c r="M59" s="1600"/>
      <c r="N59" s="6"/>
      <c r="O59" s="6"/>
      <c r="P59" s="6"/>
      <c r="Q59" s="6"/>
      <c r="R59" s="6"/>
      <c r="S59" s="6"/>
      <c r="T59" s="6"/>
      <c r="U59" s="6"/>
    </row>
    <row r="60" spans="1:21" ht="22.5" customHeight="1" x14ac:dyDescent="0.25">
      <c r="A60" s="515"/>
      <c r="B60" s="516"/>
      <c r="C60" s="53"/>
      <c r="D60" s="53"/>
      <c r="E60" s="54"/>
      <c r="F60" s="54"/>
      <c r="G60" s="54"/>
      <c r="H60" s="54"/>
      <c r="I60" s="1601"/>
      <c r="J60" s="1602"/>
      <c r="K60" s="1602"/>
      <c r="L60" s="1602"/>
      <c r="M60" s="1603"/>
      <c r="N60" s="6"/>
      <c r="O60" s="6"/>
      <c r="P60" s="6"/>
      <c r="Q60" s="6"/>
      <c r="R60" s="6"/>
      <c r="S60" s="6"/>
      <c r="T60" s="6"/>
      <c r="U60" s="6"/>
    </row>
    <row r="61" spans="1:21" s="899" customFormat="1" ht="98.25" customHeight="1" x14ac:dyDescent="0.25">
      <c r="A61" s="1084" t="s">
        <v>42</v>
      </c>
      <c r="B61" s="1084"/>
      <c r="C61" s="848" t="s">
        <v>837</v>
      </c>
      <c r="D61" s="882" t="s">
        <v>244</v>
      </c>
      <c r="E61" s="851" t="s">
        <v>70</v>
      </c>
      <c r="F61" s="1084" t="s">
        <v>932</v>
      </c>
      <c r="G61" s="1084"/>
      <c r="H61" s="851" t="s">
        <v>933</v>
      </c>
      <c r="I61" s="1870"/>
      <c r="J61" s="1870"/>
      <c r="K61" s="1870"/>
      <c r="L61" s="1870"/>
      <c r="M61" s="1871"/>
    </row>
    <row r="62" spans="1:21" ht="66" customHeight="1" x14ac:dyDescent="0.25">
      <c r="A62" s="1062" t="s">
        <v>735</v>
      </c>
      <c r="B62" s="1063"/>
      <c r="C62" s="619" t="s">
        <v>838</v>
      </c>
      <c r="D62" s="585"/>
      <c r="E62" s="909"/>
      <c r="F62" s="1869"/>
      <c r="G62" s="1869"/>
      <c r="H62" s="621"/>
      <c r="I62" s="1872"/>
      <c r="J62" s="1870"/>
      <c r="K62" s="1870"/>
      <c r="L62" s="1870"/>
      <c r="M62" s="1871"/>
      <c r="N62" s="6"/>
      <c r="O62" s="6"/>
      <c r="P62" s="6"/>
      <c r="Q62" s="6"/>
      <c r="R62" s="6"/>
      <c r="S62" s="6"/>
      <c r="T62" s="6"/>
      <c r="U62" s="6"/>
    </row>
    <row r="63" spans="1:21" ht="67.5" customHeight="1" x14ac:dyDescent="0.25">
      <c r="A63" s="1062" t="s">
        <v>958</v>
      </c>
      <c r="B63" s="1063"/>
      <c r="C63" s="619" t="s">
        <v>839</v>
      </c>
      <c r="D63" s="585"/>
      <c r="E63" s="909"/>
      <c r="F63" s="1869"/>
      <c r="G63" s="1869"/>
      <c r="H63" s="621"/>
      <c r="I63" s="1872"/>
      <c r="J63" s="1870"/>
      <c r="K63" s="1870"/>
      <c r="L63" s="1870"/>
      <c r="M63" s="1871"/>
      <c r="N63" s="6"/>
      <c r="O63" s="6"/>
      <c r="P63" s="6"/>
      <c r="Q63" s="6"/>
      <c r="R63" s="6"/>
      <c r="S63" s="6"/>
      <c r="T63" s="6"/>
      <c r="U63" s="6"/>
    </row>
    <row r="64" spans="1:21" ht="55.5" customHeight="1" x14ac:dyDescent="0.25">
      <c r="A64" s="1062" t="s">
        <v>242</v>
      </c>
      <c r="B64" s="1063"/>
      <c r="C64" s="620" t="s">
        <v>874</v>
      </c>
      <c r="D64" s="585"/>
      <c r="E64" s="909"/>
      <c r="F64" s="1869"/>
      <c r="G64" s="1869"/>
      <c r="H64" s="621"/>
      <c r="I64" s="1872"/>
      <c r="J64" s="1870"/>
      <c r="K64" s="1870"/>
      <c r="L64" s="1870"/>
      <c r="M64" s="1871"/>
      <c r="N64" s="6"/>
      <c r="O64" s="6"/>
      <c r="P64" s="6"/>
      <c r="Q64" s="6"/>
      <c r="R64" s="6"/>
      <c r="S64" s="6"/>
      <c r="T64" s="6"/>
      <c r="U64" s="6"/>
    </row>
    <row r="65" spans="1:21" ht="54.75" customHeight="1" x14ac:dyDescent="0.25">
      <c r="A65" s="1062" t="s">
        <v>243</v>
      </c>
      <c r="B65" s="1063"/>
      <c r="C65" s="620" t="s">
        <v>875</v>
      </c>
      <c r="D65" s="585"/>
      <c r="E65" s="909"/>
      <c r="F65" s="1869"/>
      <c r="G65" s="1869"/>
      <c r="H65" s="621"/>
      <c r="I65" s="1872"/>
      <c r="J65" s="1870"/>
      <c r="K65" s="1870"/>
      <c r="L65" s="1870"/>
      <c r="M65" s="1871"/>
      <c r="N65" s="6"/>
      <c r="O65" s="6"/>
      <c r="P65" s="6"/>
      <c r="Q65" s="6"/>
      <c r="R65" s="6"/>
      <c r="S65" s="6"/>
      <c r="T65" s="6"/>
      <c r="U65" s="6"/>
    </row>
    <row r="66" spans="1:21" ht="54.75" customHeight="1" x14ac:dyDescent="0.25">
      <c r="A66" s="1098" t="s">
        <v>876</v>
      </c>
      <c r="B66" s="1099"/>
      <c r="C66" s="620" t="s">
        <v>877</v>
      </c>
      <c r="D66" s="622"/>
      <c r="E66" s="910"/>
      <c r="F66" s="910"/>
      <c r="G66" s="910"/>
      <c r="H66" s="623"/>
      <c r="I66" s="1872"/>
      <c r="J66" s="1870"/>
      <c r="K66" s="1870"/>
      <c r="L66" s="1870"/>
      <c r="M66" s="1871"/>
      <c r="N66" s="6"/>
      <c r="O66" s="6"/>
      <c r="P66" s="6"/>
      <c r="Q66" s="6"/>
      <c r="R66" s="6"/>
      <c r="S66" s="6"/>
      <c r="T66" s="6"/>
      <c r="U66" s="6"/>
    </row>
    <row r="67" spans="1:21" ht="42.75" customHeight="1" thickBot="1" x14ac:dyDescent="0.3">
      <c r="A67" s="1086" t="s">
        <v>182</v>
      </c>
      <c r="B67" s="1087"/>
      <c r="C67" s="569"/>
      <c r="D67" s="622"/>
      <c r="E67" s="910"/>
      <c r="F67" s="1876"/>
      <c r="G67" s="1876"/>
      <c r="H67" s="623"/>
      <c r="I67" s="1872"/>
      <c r="J67" s="1870"/>
      <c r="K67" s="1870"/>
      <c r="L67" s="1870"/>
      <c r="M67" s="1871"/>
      <c r="N67" s="6"/>
      <c r="O67" s="6"/>
      <c r="P67" s="6"/>
      <c r="Q67" s="6"/>
      <c r="R67" s="6"/>
      <c r="S67" s="6"/>
      <c r="T67" s="6"/>
      <c r="U67" s="6"/>
    </row>
    <row r="68" spans="1:21" ht="19.5" thickBot="1" x14ac:dyDescent="0.35">
      <c r="A68" s="1877" t="s">
        <v>2</v>
      </c>
      <c r="B68" s="1878"/>
      <c r="C68" s="624">
        <f>(D62*1000*0.9)+(D63*1500*0.85)+(D64*1000*0.8)+(D65*1500*0.7)</f>
        <v>0</v>
      </c>
      <c r="D68" s="624"/>
      <c r="E68" s="56">
        <f>SUM(E62:E67)</f>
        <v>0</v>
      </c>
      <c r="F68" s="1094">
        <f>SUM(F62:F67)</f>
        <v>0</v>
      </c>
      <c r="G68" s="1095">
        <f>SUM(G62:G67)</f>
        <v>0</v>
      </c>
      <c r="H68" s="625">
        <f>SUM(H62:H67)</f>
        <v>0</v>
      </c>
      <c r="I68" s="1873"/>
      <c r="J68" s="1874"/>
      <c r="K68" s="1874"/>
      <c r="L68" s="1874"/>
      <c r="M68" s="1875"/>
      <c r="O68" s="6"/>
      <c r="P68" s="6"/>
      <c r="Q68" s="6"/>
      <c r="R68" s="6"/>
      <c r="S68" s="6"/>
      <c r="T68" s="6"/>
      <c r="U68" s="6"/>
    </row>
    <row r="69" spans="1:21" ht="18.75" thickBot="1" x14ac:dyDescent="0.3">
      <c r="A69" s="517"/>
      <c r="B69" s="517"/>
      <c r="C69" s="587"/>
      <c r="D69" s="587"/>
      <c r="E69" s="587"/>
      <c r="F69" s="59"/>
      <c r="G69" s="59"/>
      <c r="H69" s="59"/>
      <c r="I69" s="59"/>
      <c r="J69" s="60"/>
      <c r="K69" s="60"/>
      <c r="L69" s="61"/>
      <c r="M69" s="62"/>
      <c r="O69" s="6"/>
      <c r="P69" s="6"/>
      <c r="Q69" s="6"/>
      <c r="R69" s="6"/>
      <c r="S69" s="6"/>
      <c r="T69" s="6"/>
      <c r="U69" s="6"/>
    </row>
    <row r="70" spans="1:21" ht="18" x14ac:dyDescent="0.25">
      <c r="A70" s="1866" t="s">
        <v>71</v>
      </c>
      <c r="B70" s="1867"/>
      <c r="C70" s="1867"/>
      <c r="D70" s="1867"/>
      <c r="E70" s="1867"/>
      <c r="F70" s="1867"/>
      <c r="G70" s="1867"/>
      <c r="H70" s="1867"/>
      <c r="I70" s="1868"/>
      <c r="J70" s="61"/>
      <c r="K70" s="61"/>
      <c r="L70" s="61"/>
      <c r="M70" s="62"/>
      <c r="O70" s="6"/>
      <c r="P70" s="6"/>
      <c r="Q70" s="6"/>
      <c r="R70" s="6"/>
      <c r="S70" s="6"/>
      <c r="T70" s="6"/>
      <c r="U70" s="6"/>
    </row>
    <row r="71" spans="1:21" ht="28.5" customHeight="1" x14ac:dyDescent="0.25">
      <c r="A71" s="1116" t="s">
        <v>72</v>
      </c>
      <c r="B71" s="1108"/>
      <c r="C71" s="1108"/>
      <c r="D71" s="1108"/>
      <c r="E71" s="1108"/>
      <c r="F71" s="857" t="s">
        <v>73</v>
      </c>
      <c r="G71" s="857" t="s">
        <v>793</v>
      </c>
      <c r="H71" s="1132" t="s">
        <v>74</v>
      </c>
      <c r="I71" s="1133"/>
      <c r="J71" s="61"/>
      <c r="K71" s="62"/>
      <c r="L71" s="63"/>
      <c r="M71" s="13"/>
      <c r="N71" s="6"/>
      <c r="O71" s="6"/>
      <c r="P71" s="6"/>
      <c r="Q71" s="6"/>
      <c r="R71" s="6"/>
      <c r="S71" s="6"/>
      <c r="T71" s="6"/>
      <c r="U71" s="6"/>
    </row>
    <row r="72" spans="1:21" x14ac:dyDescent="0.25">
      <c r="A72" s="1117" t="s">
        <v>75</v>
      </c>
      <c r="B72" s="1118"/>
      <c r="C72" s="1118"/>
      <c r="D72" s="1118"/>
      <c r="E72" s="1118"/>
      <c r="F72" s="518"/>
      <c r="G72" s="519"/>
      <c r="H72" s="1620"/>
      <c r="I72" s="1621"/>
      <c r="J72" s="61"/>
      <c r="K72" s="62"/>
      <c r="L72" s="63"/>
      <c r="M72" s="13"/>
      <c r="N72" s="6"/>
      <c r="O72" s="6"/>
      <c r="P72" s="6"/>
      <c r="Q72" s="6"/>
      <c r="R72" s="6"/>
      <c r="S72" s="6"/>
      <c r="T72" s="6"/>
      <c r="U72" s="6"/>
    </row>
    <row r="73" spans="1:21" x14ac:dyDescent="0.25">
      <c r="A73" s="1117" t="s">
        <v>76</v>
      </c>
      <c r="B73" s="1118"/>
      <c r="C73" s="1118"/>
      <c r="D73" s="1118"/>
      <c r="E73" s="1118"/>
      <c r="F73" s="518"/>
      <c r="G73" s="519"/>
      <c r="H73" s="1620"/>
      <c r="I73" s="1621"/>
      <c r="J73" s="61"/>
      <c r="K73" s="62"/>
      <c r="L73" s="63"/>
      <c r="M73" s="13"/>
      <c r="N73" s="6"/>
      <c r="O73" s="6"/>
      <c r="P73" s="6"/>
      <c r="Q73" s="6"/>
      <c r="R73" s="6"/>
      <c r="S73" s="6"/>
      <c r="T73" s="6"/>
      <c r="U73" s="6"/>
    </row>
    <row r="74" spans="1:21" x14ac:dyDescent="0.25">
      <c r="A74" s="1117" t="s">
        <v>77</v>
      </c>
      <c r="B74" s="1118"/>
      <c r="C74" s="1118"/>
      <c r="D74" s="1118"/>
      <c r="E74" s="1118"/>
      <c r="F74" s="518"/>
      <c r="G74" s="519"/>
      <c r="H74" s="1620"/>
      <c r="I74" s="1621"/>
      <c r="J74" s="61"/>
      <c r="K74" s="62"/>
      <c r="L74" s="63"/>
      <c r="M74" s="13"/>
      <c r="N74" s="6"/>
      <c r="O74" s="6"/>
      <c r="P74" s="6"/>
      <c r="Q74" s="6"/>
      <c r="R74" s="6"/>
      <c r="S74" s="6"/>
      <c r="T74" s="6"/>
      <c r="U74" s="6"/>
    </row>
    <row r="75" spans="1:21" ht="15" customHeight="1" thickBot="1" x14ac:dyDescent="0.3">
      <c r="A75" s="1121" t="s">
        <v>78</v>
      </c>
      <c r="B75" s="1122"/>
      <c r="C75" s="1122"/>
      <c r="D75" s="1122"/>
      <c r="E75" s="1122"/>
      <c r="F75" s="520"/>
      <c r="G75" s="521"/>
      <c r="H75" s="1609"/>
      <c r="I75" s="1859"/>
      <c r="J75" s="61"/>
      <c r="K75" s="62"/>
      <c r="L75" s="63"/>
      <c r="M75" s="13"/>
      <c r="N75" s="6"/>
      <c r="O75" s="6"/>
      <c r="P75" s="6"/>
      <c r="Q75" s="6"/>
      <c r="R75" s="6"/>
      <c r="S75" s="6"/>
      <c r="T75" s="6"/>
      <c r="U75" s="6"/>
    </row>
    <row r="76" spans="1:21" ht="15.75" thickBot="1" x14ac:dyDescent="0.3">
      <c r="A76" s="1125" t="s">
        <v>2</v>
      </c>
      <c r="B76" s="1126"/>
      <c r="C76" s="1126"/>
      <c r="D76" s="1126"/>
      <c r="E76" s="1126"/>
      <c r="F76" s="64">
        <f>SUM(F72:F75)</f>
        <v>0</v>
      </c>
      <c r="G76" s="64">
        <f>SUM(G72:G75)</f>
        <v>0</v>
      </c>
      <c r="H76" s="1127">
        <f>SUM(H72:I75)</f>
        <v>0</v>
      </c>
      <c r="I76" s="1128"/>
      <c r="J76" s="61"/>
      <c r="K76" s="62"/>
      <c r="L76" s="63"/>
      <c r="M76" s="13"/>
      <c r="N76" s="6"/>
      <c r="O76" s="6"/>
      <c r="P76" s="6"/>
      <c r="Q76" s="6"/>
      <c r="R76" s="6"/>
      <c r="S76" s="6"/>
      <c r="T76" s="6"/>
      <c r="U76" s="6"/>
    </row>
    <row r="77" spans="1:21" ht="15.75" thickBot="1" x14ac:dyDescent="0.3">
      <c r="A77" s="522"/>
      <c r="B77" s="626"/>
      <c r="C77" s="587"/>
      <c r="D77" s="59"/>
      <c r="E77" s="587"/>
      <c r="F77" s="59"/>
      <c r="G77" s="587"/>
      <c r="H77" s="59"/>
      <c r="I77" s="587"/>
      <c r="J77" s="61"/>
      <c r="K77" s="61"/>
      <c r="L77" s="61"/>
      <c r="M77" s="62"/>
      <c r="O77" s="6"/>
      <c r="P77" s="6"/>
      <c r="Q77" s="6"/>
      <c r="R77" s="6"/>
      <c r="S77" s="6"/>
      <c r="T77" s="6"/>
      <c r="U77" s="6"/>
    </row>
    <row r="78" spans="1:21" ht="18.75" thickBot="1" x14ac:dyDescent="0.3">
      <c r="A78" s="1756" t="s">
        <v>736</v>
      </c>
      <c r="B78" s="1756"/>
      <c r="C78" s="1756"/>
      <c r="D78" s="1756"/>
      <c r="E78" s="1756"/>
      <c r="F78" s="1756"/>
      <c r="G78" s="1756"/>
      <c r="H78" s="1757"/>
      <c r="I78" s="1646" t="s">
        <v>39</v>
      </c>
      <c r="J78" s="1647"/>
      <c r="K78" s="1647"/>
      <c r="L78" s="1647"/>
      <c r="M78" s="1648"/>
      <c r="O78" s="6"/>
      <c r="P78" s="6"/>
      <c r="Q78" s="6"/>
      <c r="R78" s="6"/>
      <c r="S78" s="6"/>
      <c r="T78" s="6"/>
      <c r="U78" s="6"/>
    </row>
    <row r="79" spans="1:21" ht="78.75" customHeight="1" x14ac:dyDescent="0.25">
      <c r="A79" s="1328" t="s">
        <v>42</v>
      </c>
      <c r="B79" s="1329" t="s">
        <v>528</v>
      </c>
      <c r="C79" s="1329" t="s">
        <v>815</v>
      </c>
      <c r="D79" s="1329" t="s">
        <v>816</v>
      </c>
      <c r="E79" s="1138" t="s">
        <v>817</v>
      </c>
      <c r="F79" s="1138" t="s">
        <v>818</v>
      </c>
      <c r="G79" s="1766" t="s">
        <v>527</v>
      </c>
      <c r="H79" s="1764" t="s">
        <v>812</v>
      </c>
      <c r="I79" s="1758"/>
      <c r="J79" s="1759"/>
      <c r="K79" s="1759"/>
      <c r="L79" s="1759"/>
      <c r="M79" s="1760"/>
      <c r="O79" s="6"/>
      <c r="P79" s="6"/>
      <c r="Q79" s="6"/>
      <c r="R79" s="6"/>
      <c r="S79" s="6"/>
      <c r="T79" s="6"/>
      <c r="U79" s="6"/>
    </row>
    <row r="80" spans="1:21" ht="29.25" customHeight="1" x14ac:dyDescent="0.25">
      <c r="A80" s="1330"/>
      <c r="B80" s="927"/>
      <c r="C80" s="927"/>
      <c r="D80" s="927"/>
      <c r="E80" s="1139"/>
      <c r="F80" s="1139"/>
      <c r="G80" s="1486"/>
      <c r="H80" s="1765"/>
      <c r="I80" s="1758"/>
      <c r="J80" s="1759"/>
      <c r="K80" s="1759"/>
      <c r="L80" s="1759"/>
      <c r="M80" s="1760"/>
      <c r="O80" s="6"/>
      <c r="P80" s="6"/>
      <c r="Q80" s="6"/>
      <c r="R80" s="6"/>
      <c r="S80" s="6"/>
      <c r="T80" s="6"/>
      <c r="U80" s="6"/>
    </row>
    <row r="81" spans="1:21" s="32" customFormat="1" ht="16.5" thickBot="1" x14ac:dyDescent="0.3">
      <c r="A81" s="706" t="s">
        <v>2</v>
      </c>
      <c r="B81" s="707"/>
      <c r="C81" s="710"/>
      <c r="D81" s="710"/>
      <c r="E81" s="710"/>
      <c r="F81" s="711"/>
      <c r="G81" s="709">
        <f>$D$4*(COUNTIF(B5,"Rural")*(H9/10)*188000+(H12/10)*338000+COUNTIF(B5,"Urban")*(H9/10)*233000+COUNTIF(B5,"Tribal/Hilly")*(H9/10)*188000)</f>
        <v>0</v>
      </c>
      <c r="H81" s="708"/>
      <c r="I81" s="1761"/>
      <c r="J81" s="1762"/>
      <c r="K81" s="1762"/>
      <c r="L81" s="1762"/>
      <c r="M81" s="1763"/>
    </row>
    <row r="82" spans="1:21" ht="13.5" customHeight="1" x14ac:dyDescent="0.25">
      <c r="A82" s="523"/>
      <c r="B82" s="523"/>
      <c r="C82" s="67"/>
      <c r="D82" s="67"/>
      <c r="E82" s="67"/>
      <c r="F82" s="67"/>
      <c r="G82" s="67"/>
      <c r="H82" s="67"/>
      <c r="I82" s="587"/>
      <c r="J82" s="587"/>
      <c r="O82" s="6"/>
      <c r="P82" s="6"/>
      <c r="Q82" s="6"/>
      <c r="R82" s="6"/>
      <c r="S82" s="6"/>
      <c r="T82" s="6"/>
      <c r="U82" s="6"/>
    </row>
    <row r="83" spans="1:21" ht="13.5" customHeight="1" thickBot="1" x14ac:dyDescent="0.3">
      <c r="A83" s="523"/>
      <c r="B83" s="523"/>
      <c r="C83" s="67"/>
      <c r="D83" s="67"/>
      <c r="E83" s="67"/>
      <c r="F83" s="67"/>
      <c r="G83" s="67"/>
      <c r="H83" s="67"/>
      <c r="I83" s="587"/>
      <c r="J83" s="587"/>
      <c r="O83" s="6"/>
      <c r="P83" s="6"/>
      <c r="Q83" s="6"/>
      <c r="R83" s="6"/>
      <c r="S83" s="6"/>
      <c r="T83" s="6"/>
      <c r="U83" s="6"/>
    </row>
    <row r="84" spans="1:21" ht="42.75" customHeight="1" x14ac:dyDescent="0.25">
      <c r="A84" s="1680" t="s">
        <v>737</v>
      </c>
      <c r="B84" s="1682" t="s">
        <v>738</v>
      </c>
      <c r="C84" s="1682" t="s">
        <v>739</v>
      </c>
      <c r="D84" s="1668" t="s">
        <v>740</v>
      </c>
      <c r="E84" s="1668"/>
      <c r="F84" s="1668"/>
      <c r="G84" s="1668"/>
      <c r="H84" s="1668"/>
      <c r="I84" s="1693" t="s">
        <v>741</v>
      </c>
      <c r="J84" s="587"/>
      <c r="O84" s="6"/>
      <c r="P84" s="6"/>
      <c r="Q84" s="6"/>
      <c r="R84" s="6"/>
      <c r="S84" s="6"/>
      <c r="T84" s="6"/>
      <c r="U84" s="6"/>
    </row>
    <row r="85" spans="1:21" ht="13.5" customHeight="1" x14ac:dyDescent="0.25">
      <c r="A85" s="1681"/>
      <c r="B85" s="1683"/>
      <c r="C85" s="1683"/>
      <c r="D85" s="633" t="s">
        <v>247</v>
      </c>
      <c r="E85" s="633" t="s">
        <v>248</v>
      </c>
      <c r="F85" s="633" t="s">
        <v>245</v>
      </c>
      <c r="G85" s="633" t="s">
        <v>246</v>
      </c>
      <c r="H85" s="633" t="s">
        <v>143</v>
      </c>
      <c r="I85" s="1694"/>
      <c r="J85" s="587"/>
      <c r="O85" s="6"/>
      <c r="P85" s="6"/>
      <c r="Q85" s="6"/>
      <c r="R85" s="6"/>
      <c r="S85" s="6"/>
      <c r="T85" s="6"/>
      <c r="U85" s="6"/>
    </row>
    <row r="86" spans="1:21" ht="13.5" customHeight="1" x14ac:dyDescent="0.25">
      <c r="A86" s="627" t="s">
        <v>742</v>
      </c>
      <c r="B86" s="564"/>
      <c r="C86" s="636"/>
      <c r="D86" s="636"/>
      <c r="E86" s="636"/>
      <c r="F86" s="636"/>
      <c r="G86" s="636"/>
      <c r="H86" s="636">
        <f t="shared" ref="H86:H98" si="3">SUM(D86:G86)</f>
        <v>0</v>
      </c>
      <c r="I86" s="634"/>
      <c r="J86" s="587"/>
      <c r="O86" s="6"/>
      <c r="P86" s="6"/>
      <c r="Q86" s="6"/>
      <c r="R86" s="6"/>
      <c r="S86" s="6"/>
      <c r="T86" s="6"/>
      <c r="U86" s="6"/>
    </row>
    <row r="87" spans="1:21" ht="30" x14ac:dyDescent="0.25">
      <c r="A87" s="627" t="s">
        <v>743</v>
      </c>
      <c r="B87" s="564"/>
      <c r="C87" s="636"/>
      <c r="D87" s="636"/>
      <c r="E87" s="636"/>
      <c r="F87" s="636"/>
      <c r="G87" s="636"/>
      <c r="H87" s="636">
        <f t="shared" si="3"/>
        <v>0</v>
      </c>
      <c r="I87" s="634"/>
      <c r="J87" s="587"/>
      <c r="O87" s="6"/>
      <c r="P87" s="6"/>
      <c r="Q87" s="6"/>
      <c r="R87" s="6"/>
      <c r="S87" s="6"/>
      <c r="T87" s="6"/>
      <c r="U87" s="6"/>
    </row>
    <row r="88" spans="1:21" ht="13.5" customHeight="1" x14ac:dyDescent="0.25">
      <c r="A88" s="627" t="s">
        <v>744</v>
      </c>
      <c r="B88" s="564"/>
      <c r="C88" s="636"/>
      <c r="D88" s="636"/>
      <c r="E88" s="636"/>
      <c r="F88" s="636"/>
      <c r="G88" s="636"/>
      <c r="H88" s="636">
        <f t="shared" si="3"/>
        <v>0</v>
      </c>
      <c r="I88" s="634"/>
      <c r="J88" s="587"/>
      <c r="L88" s="583"/>
      <c r="O88" s="6"/>
      <c r="P88" s="6"/>
      <c r="Q88" s="6"/>
      <c r="R88" s="6"/>
      <c r="S88" s="6"/>
      <c r="T88" s="6"/>
      <c r="U88" s="6"/>
    </row>
    <row r="89" spans="1:21" ht="13.5" customHeight="1" x14ac:dyDescent="0.25">
      <c r="A89" s="627" t="s">
        <v>745</v>
      </c>
      <c r="B89" s="564"/>
      <c r="C89" s="636"/>
      <c r="D89" s="636"/>
      <c r="E89" s="636"/>
      <c r="F89" s="636"/>
      <c r="G89" s="636"/>
      <c r="H89" s="636">
        <f t="shared" si="3"/>
        <v>0</v>
      </c>
      <c r="I89" s="634"/>
      <c r="J89" s="587"/>
      <c r="L89" s="583"/>
      <c r="O89" s="6"/>
      <c r="P89" s="6"/>
      <c r="Q89" s="6"/>
      <c r="R89" s="6"/>
      <c r="S89" s="6"/>
      <c r="T89" s="6"/>
      <c r="U89" s="6"/>
    </row>
    <row r="90" spans="1:21" ht="13.5" customHeight="1" x14ac:dyDescent="0.25">
      <c r="A90" s="627" t="s">
        <v>746</v>
      </c>
      <c r="B90" s="564"/>
      <c r="C90" s="636"/>
      <c r="D90" s="636"/>
      <c r="E90" s="636"/>
      <c r="F90" s="636"/>
      <c r="G90" s="636"/>
      <c r="H90" s="636">
        <f t="shared" si="3"/>
        <v>0</v>
      </c>
      <c r="I90" s="634"/>
      <c r="J90" s="587"/>
      <c r="O90" s="6"/>
      <c r="P90" s="6"/>
      <c r="Q90" s="6"/>
      <c r="R90" s="6"/>
      <c r="S90" s="6"/>
      <c r="T90" s="6"/>
      <c r="U90" s="6"/>
    </row>
    <row r="91" spans="1:21" ht="13.5" customHeight="1" x14ac:dyDescent="0.25">
      <c r="A91" s="628"/>
      <c r="B91" s="564"/>
      <c r="C91" s="636"/>
      <c r="D91" s="636"/>
      <c r="E91" s="636"/>
      <c r="F91" s="636"/>
      <c r="G91" s="636"/>
      <c r="H91" s="636">
        <f t="shared" si="3"/>
        <v>0</v>
      </c>
      <c r="I91" s="634"/>
      <c r="J91" s="587"/>
      <c r="O91" s="6"/>
      <c r="P91" s="6"/>
      <c r="Q91" s="6"/>
      <c r="R91" s="6"/>
      <c r="S91" s="6"/>
      <c r="T91" s="6"/>
      <c r="U91" s="6"/>
    </row>
    <row r="92" spans="1:21" ht="13.5" customHeight="1" x14ac:dyDescent="0.25">
      <c r="A92" s="628"/>
      <c r="B92" s="564"/>
      <c r="C92" s="636"/>
      <c r="D92" s="636"/>
      <c r="E92" s="636"/>
      <c r="F92" s="636"/>
      <c r="G92" s="636"/>
      <c r="H92" s="636">
        <f t="shared" si="3"/>
        <v>0</v>
      </c>
      <c r="I92" s="634"/>
      <c r="J92" s="587"/>
      <c r="O92" s="6"/>
      <c r="P92" s="6"/>
      <c r="Q92" s="6"/>
      <c r="R92" s="6"/>
      <c r="S92" s="6"/>
      <c r="T92" s="6"/>
      <c r="U92" s="6"/>
    </row>
    <row r="93" spans="1:21" ht="13.5" customHeight="1" x14ac:dyDescent="0.25">
      <c r="A93" s="628"/>
      <c r="B93" s="564"/>
      <c r="C93" s="636"/>
      <c r="D93" s="636"/>
      <c r="E93" s="636"/>
      <c r="F93" s="636"/>
      <c r="G93" s="636"/>
      <c r="H93" s="636">
        <f t="shared" si="3"/>
        <v>0</v>
      </c>
      <c r="I93" s="634"/>
      <c r="J93" s="587"/>
      <c r="O93" s="6"/>
      <c r="P93" s="6"/>
      <c r="Q93" s="6"/>
      <c r="R93" s="6"/>
      <c r="S93" s="6"/>
      <c r="T93" s="6"/>
      <c r="U93" s="6"/>
    </row>
    <row r="94" spans="1:21" ht="13.5" customHeight="1" x14ac:dyDescent="0.25">
      <c r="A94" s="628"/>
      <c r="B94" s="564"/>
      <c r="C94" s="636"/>
      <c r="D94" s="636"/>
      <c r="E94" s="636"/>
      <c r="F94" s="636"/>
      <c r="G94" s="636"/>
      <c r="H94" s="636">
        <f t="shared" si="3"/>
        <v>0</v>
      </c>
      <c r="I94" s="634"/>
      <c r="J94" s="587"/>
      <c r="O94" s="6"/>
      <c r="P94" s="6"/>
      <c r="Q94" s="6"/>
      <c r="R94" s="6"/>
      <c r="S94" s="6"/>
      <c r="T94" s="6"/>
      <c r="U94" s="6"/>
    </row>
    <row r="95" spans="1:21" ht="13.5" customHeight="1" x14ac:dyDescent="0.25">
      <c r="A95" s="628"/>
      <c r="B95" s="564"/>
      <c r="C95" s="636"/>
      <c r="D95" s="636"/>
      <c r="E95" s="636"/>
      <c r="F95" s="636"/>
      <c r="G95" s="636"/>
      <c r="H95" s="636">
        <f t="shared" si="3"/>
        <v>0</v>
      </c>
      <c r="I95" s="634"/>
      <c r="J95" s="587"/>
      <c r="O95" s="6"/>
      <c r="P95" s="6"/>
      <c r="Q95" s="6"/>
      <c r="R95" s="6"/>
      <c r="S95" s="6"/>
      <c r="T95" s="6"/>
      <c r="U95" s="6"/>
    </row>
    <row r="96" spans="1:21" ht="13.5" customHeight="1" x14ac:dyDescent="0.25">
      <c r="A96" s="628"/>
      <c r="B96" s="564"/>
      <c r="C96" s="636"/>
      <c r="D96" s="636"/>
      <c r="E96" s="636"/>
      <c r="F96" s="636"/>
      <c r="G96" s="636"/>
      <c r="H96" s="636">
        <f t="shared" si="3"/>
        <v>0</v>
      </c>
      <c r="I96" s="634"/>
      <c r="J96" s="587"/>
      <c r="O96" s="6"/>
      <c r="P96" s="6"/>
      <c r="Q96" s="6"/>
      <c r="R96" s="6"/>
      <c r="S96" s="6"/>
      <c r="T96" s="6"/>
      <c r="U96" s="6"/>
    </row>
    <row r="97" spans="1:21" ht="13.5" customHeight="1" x14ac:dyDescent="0.25">
      <c r="A97" s="628"/>
      <c r="B97" s="564"/>
      <c r="C97" s="636"/>
      <c r="D97" s="636"/>
      <c r="E97" s="636"/>
      <c r="F97" s="636"/>
      <c r="G97" s="636"/>
      <c r="H97" s="636">
        <f t="shared" si="3"/>
        <v>0</v>
      </c>
      <c r="I97" s="634"/>
      <c r="J97" s="587"/>
      <c r="O97" s="6"/>
      <c r="P97" s="6"/>
      <c r="Q97" s="6"/>
      <c r="R97" s="6"/>
      <c r="S97" s="6"/>
      <c r="T97" s="6"/>
      <c r="U97" s="6"/>
    </row>
    <row r="98" spans="1:21" ht="13.5" customHeight="1" thickBot="1" x14ac:dyDescent="0.3">
      <c r="A98" s="629"/>
      <c r="B98" s="637"/>
      <c r="C98" s="638"/>
      <c r="D98" s="638"/>
      <c r="E98" s="638"/>
      <c r="F98" s="638"/>
      <c r="G98" s="638"/>
      <c r="H98" s="636">
        <f t="shared" si="3"/>
        <v>0</v>
      </c>
      <c r="I98" s="635"/>
      <c r="J98" s="587"/>
      <c r="O98" s="6"/>
      <c r="P98" s="6"/>
      <c r="Q98" s="6"/>
      <c r="R98" s="6"/>
      <c r="S98" s="6"/>
      <c r="T98" s="6"/>
      <c r="U98" s="6"/>
    </row>
    <row r="99" spans="1:21" ht="13.5" customHeight="1" thickBot="1" x14ac:dyDescent="0.3">
      <c r="A99" s="630" t="s">
        <v>2</v>
      </c>
      <c r="B99" s="631">
        <f t="shared" ref="B99:I99" si="4">SUM(B86:B98)</f>
        <v>0</v>
      </c>
      <c r="C99" s="631">
        <f t="shared" si="4"/>
        <v>0</v>
      </c>
      <c r="D99" s="631">
        <f t="shared" si="4"/>
        <v>0</v>
      </c>
      <c r="E99" s="631">
        <f t="shared" si="4"/>
        <v>0</v>
      </c>
      <c r="F99" s="631">
        <f t="shared" si="4"/>
        <v>0</v>
      </c>
      <c r="G99" s="631">
        <f t="shared" si="4"/>
        <v>0</v>
      </c>
      <c r="H99" s="631">
        <f t="shared" si="4"/>
        <v>0</v>
      </c>
      <c r="I99" s="632">
        <f t="shared" si="4"/>
        <v>0</v>
      </c>
      <c r="J99" s="587"/>
      <c r="O99" s="6"/>
      <c r="P99" s="6"/>
      <c r="Q99" s="6"/>
      <c r="R99" s="6"/>
      <c r="S99" s="6"/>
      <c r="T99" s="6"/>
      <c r="U99" s="6"/>
    </row>
    <row r="100" spans="1:21" ht="13.5" customHeight="1" thickBot="1" x14ac:dyDescent="0.3">
      <c r="A100" s="523"/>
      <c r="B100" s="523"/>
      <c r="C100" s="67"/>
      <c r="D100" s="67"/>
      <c r="E100" s="67"/>
      <c r="F100" s="67"/>
      <c r="G100" s="67"/>
      <c r="H100" s="67"/>
      <c r="I100" s="587"/>
      <c r="J100" s="587"/>
      <c r="O100" s="6"/>
      <c r="P100" s="6"/>
      <c r="Q100" s="6"/>
      <c r="R100" s="6"/>
      <c r="S100" s="6"/>
      <c r="T100" s="6"/>
      <c r="U100" s="6"/>
    </row>
    <row r="101" spans="1:21" ht="18" x14ac:dyDescent="0.25">
      <c r="A101" s="1406" t="s">
        <v>747</v>
      </c>
      <c r="B101" s="1407"/>
      <c r="C101" s="1407"/>
      <c r="D101" s="1407"/>
      <c r="E101" s="1407"/>
      <c r="F101" s="1407"/>
      <c r="G101" s="1407"/>
      <c r="H101" s="1407"/>
      <c r="I101" s="1860" t="s">
        <v>39</v>
      </c>
      <c r="J101" s="1861"/>
      <c r="K101" s="1861"/>
      <c r="L101" s="1861"/>
      <c r="M101" s="1862"/>
      <c r="N101" s="6"/>
      <c r="O101" s="6"/>
      <c r="P101" s="6"/>
      <c r="Q101" s="6"/>
      <c r="R101" s="6"/>
      <c r="S101" s="6"/>
      <c r="T101" s="6"/>
      <c r="U101" s="6"/>
    </row>
    <row r="102" spans="1:21" ht="13.5" customHeight="1" x14ac:dyDescent="0.25">
      <c r="A102" s="524"/>
      <c r="B102" s="525"/>
      <c r="C102" s="68"/>
      <c r="D102" s="69"/>
      <c r="E102" s="68"/>
      <c r="F102" s="68"/>
      <c r="G102" s="68"/>
      <c r="H102" s="68"/>
      <c r="I102" s="1863"/>
      <c r="J102" s="1864"/>
      <c r="K102" s="1864"/>
      <c r="L102" s="1864"/>
      <c r="M102" s="1865"/>
      <c r="N102" s="6"/>
      <c r="O102" s="6"/>
      <c r="P102" s="6"/>
      <c r="Q102" s="6"/>
      <c r="R102" s="6"/>
      <c r="S102" s="6"/>
      <c r="T102" s="6"/>
      <c r="U102" s="6"/>
    </row>
    <row r="103" spans="1:21" s="71" customFormat="1" ht="57" customHeight="1" x14ac:dyDescent="0.25">
      <c r="A103" s="1144" t="s">
        <v>80</v>
      </c>
      <c r="B103" s="1145"/>
      <c r="C103" s="854" t="s">
        <v>748</v>
      </c>
      <c r="D103" s="526" t="s">
        <v>81</v>
      </c>
      <c r="E103" s="371" t="s">
        <v>70</v>
      </c>
      <c r="F103" s="371" t="s">
        <v>801</v>
      </c>
      <c r="G103" s="1667" t="s">
        <v>792</v>
      </c>
      <c r="H103" s="1667"/>
      <c r="I103" s="1863"/>
      <c r="J103" s="1864"/>
      <c r="K103" s="1864"/>
      <c r="L103" s="1864"/>
      <c r="M103" s="1865"/>
    </row>
    <row r="104" spans="1:21" s="481" customFormat="1" ht="73.5" customHeight="1" x14ac:dyDescent="0.25">
      <c r="A104" s="1739" t="s">
        <v>82</v>
      </c>
      <c r="B104" s="1740"/>
      <c r="C104" s="527"/>
      <c r="D104" s="639">
        <f>$D$4*C104*45000</f>
        <v>0</v>
      </c>
      <c r="E104" s="884"/>
      <c r="F104" s="884"/>
      <c r="G104" s="1695"/>
      <c r="H104" s="1696"/>
      <c r="I104" s="1697"/>
      <c r="J104" s="1698"/>
      <c r="K104" s="1698"/>
      <c r="L104" s="1698"/>
      <c r="M104" s="1699"/>
    </row>
    <row r="105" spans="1:21" ht="28.5" customHeight="1" x14ac:dyDescent="0.25">
      <c r="A105" s="1062" t="s">
        <v>83</v>
      </c>
      <c r="B105" s="1063"/>
      <c r="C105" s="563"/>
      <c r="D105" s="856">
        <f>$D$4*C105*2000</f>
        <v>0</v>
      </c>
      <c r="E105" s="884"/>
      <c r="F105" s="884"/>
      <c r="G105" s="1734"/>
      <c r="H105" s="1695"/>
      <c r="I105" s="1700"/>
      <c r="J105" s="1701"/>
      <c r="K105" s="1701"/>
      <c r="L105" s="1701"/>
      <c r="M105" s="1702"/>
      <c r="N105" s="6"/>
      <c r="O105" s="6"/>
      <c r="P105" s="6"/>
      <c r="Q105" s="6"/>
      <c r="R105" s="6"/>
      <c r="S105" s="6"/>
      <c r="T105" s="6"/>
      <c r="U105" s="6"/>
    </row>
    <row r="106" spans="1:21" ht="28.5" customHeight="1" x14ac:dyDescent="0.25">
      <c r="A106" s="1062" t="s">
        <v>84</v>
      </c>
      <c r="B106" s="1063"/>
      <c r="C106" s="563"/>
      <c r="D106" s="856">
        <f>$D$4*C106*5000</f>
        <v>0</v>
      </c>
      <c r="E106" s="884"/>
      <c r="F106" s="884"/>
      <c r="G106" s="1734"/>
      <c r="H106" s="1695"/>
      <c r="I106" s="1700"/>
      <c r="J106" s="1701"/>
      <c r="K106" s="1701"/>
      <c r="L106" s="1701"/>
      <c r="M106" s="1702"/>
      <c r="N106" s="6"/>
      <c r="O106" s="6"/>
      <c r="P106" s="6"/>
      <c r="Q106" s="6"/>
      <c r="R106" s="6"/>
      <c r="S106" s="6"/>
      <c r="T106" s="6"/>
      <c r="U106" s="6"/>
    </row>
    <row r="107" spans="1:21" ht="28.5" customHeight="1" x14ac:dyDescent="0.25">
      <c r="A107" s="1062" t="s">
        <v>85</v>
      </c>
      <c r="B107" s="1063"/>
      <c r="C107" s="563"/>
      <c r="D107" s="856">
        <f>$D$4*C107*92000</f>
        <v>0</v>
      </c>
      <c r="E107" s="884"/>
      <c r="F107" s="884"/>
      <c r="G107" s="1734"/>
      <c r="H107" s="1695"/>
      <c r="I107" s="1700"/>
      <c r="J107" s="1701"/>
      <c r="K107" s="1701"/>
      <c r="L107" s="1701"/>
      <c r="M107" s="1702"/>
      <c r="N107" s="6"/>
      <c r="O107" s="6"/>
      <c r="P107" s="6"/>
      <c r="Q107" s="6"/>
      <c r="R107" s="6"/>
      <c r="S107" s="6"/>
      <c r="T107" s="6"/>
      <c r="U107" s="6"/>
    </row>
    <row r="108" spans="1:21" ht="28.5" customHeight="1" x14ac:dyDescent="0.25">
      <c r="A108" s="1062" t="s">
        <v>86</v>
      </c>
      <c r="B108" s="1063"/>
      <c r="C108" s="563"/>
      <c r="D108" s="856">
        <f>$D$4*C108*45000</f>
        <v>0</v>
      </c>
      <c r="E108" s="884"/>
      <c r="F108" s="884"/>
      <c r="G108" s="1734"/>
      <c r="H108" s="1695"/>
      <c r="I108" s="1700"/>
      <c r="J108" s="1701"/>
      <c r="K108" s="1701"/>
      <c r="L108" s="1701"/>
      <c r="M108" s="1702"/>
      <c r="N108" s="6"/>
      <c r="O108" s="6"/>
      <c r="P108" s="6"/>
      <c r="Q108" s="6"/>
      <c r="R108" s="6"/>
      <c r="S108" s="6"/>
      <c r="T108" s="6"/>
      <c r="U108" s="6"/>
    </row>
    <row r="109" spans="1:21" ht="28.5" customHeight="1" x14ac:dyDescent="0.25">
      <c r="A109" s="1062" t="s">
        <v>87</v>
      </c>
      <c r="B109" s="1063"/>
      <c r="C109" s="563"/>
      <c r="D109" s="856">
        <f>$D$4*C109*681000+$D$4*C109*45000</f>
        <v>0</v>
      </c>
      <c r="E109" s="884"/>
      <c r="F109" s="884"/>
      <c r="G109" s="1734"/>
      <c r="H109" s="1695"/>
      <c r="I109" s="1700"/>
      <c r="J109" s="1701"/>
      <c r="K109" s="1701"/>
      <c r="L109" s="1701"/>
      <c r="M109" s="1702"/>
      <c r="N109" s="6"/>
      <c r="O109" s="6"/>
      <c r="P109" s="6"/>
      <c r="Q109" s="6"/>
      <c r="R109" s="6"/>
      <c r="S109" s="6"/>
      <c r="T109" s="6"/>
      <c r="U109" s="6"/>
    </row>
    <row r="110" spans="1:21" ht="28.5" customHeight="1" x14ac:dyDescent="0.25">
      <c r="A110" s="1062" t="s">
        <v>790</v>
      </c>
      <c r="B110" s="1063"/>
      <c r="C110" s="563"/>
      <c r="D110" s="856" t="s">
        <v>791</v>
      </c>
      <c r="E110" s="884"/>
      <c r="F110" s="884"/>
      <c r="G110" s="1734"/>
      <c r="H110" s="1695"/>
      <c r="I110" s="1700"/>
      <c r="J110" s="1701"/>
      <c r="K110" s="1701"/>
      <c r="L110" s="1701"/>
      <c r="M110" s="1702"/>
      <c r="N110" s="6"/>
      <c r="O110" s="6"/>
      <c r="P110" s="6"/>
      <c r="Q110" s="6"/>
      <c r="R110" s="6"/>
      <c r="S110" s="6"/>
      <c r="T110" s="6"/>
      <c r="U110" s="6"/>
    </row>
    <row r="111" spans="1:21" ht="28.5" customHeight="1" x14ac:dyDescent="0.25">
      <c r="A111" s="1181" t="s">
        <v>789</v>
      </c>
      <c r="B111" s="1858"/>
      <c r="C111" s="563"/>
      <c r="D111" s="856" t="s">
        <v>791</v>
      </c>
      <c r="E111" s="884"/>
      <c r="F111" s="884"/>
      <c r="G111" s="1734"/>
      <c r="H111" s="1695"/>
      <c r="I111" s="1700"/>
      <c r="J111" s="1701"/>
      <c r="K111" s="1701"/>
      <c r="L111" s="1701"/>
      <c r="M111" s="1702"/>
      <c r="N111" s="6"/>
      <c r="O111" s="6"/>
      <c r="P111" s="6"/>
      <c r="Q111" s="6"/>
      <c r="R111" s="6"/>
      <c r="S111" s="6"/>
      <c r="T111" s="6"/>
      <c r="U111" s="6"/>
    </row>
    <row r="112" spans="1:21" ht="28.5" customHeight="1" x14ac:dyDescent="0.25">
      <c r="A112" s="1181" t="s">
        <v>89</v>
      </c>
      <c r="B112" s="1858"/>
      <c r="C112" s="563"/>
      <c r="D112" s="856">
        <f>$D$4*C112*1000</f>
        <v>0</v>
      </c>
      <c r="E112" s="884"/>
      <c r="F112" s="884"/>
      <c r="G112" s="1734"/>
      <c r="H112" s="1695"/>
      <c r="I112" s="1700"/>
      <c r="J112" s="1701"/>
      <c r="K112" s="1701"/>
      <c r="L112" s="1701"/>
      <c r="M112" s="1702"/>
      <c r="N112" s="6"/>
      <c r="O112" s="6"/>
      <c r="P112" s="6"/>
      <c r="Q112" s="6"/>
      <c r="R112" s="6"/>
      <c r="S112" s="6"/>
      <c r="T112" s="6"/>
      <c r="U112" s="6"/>
    </row>
    <row r="113" spans="1:21" ht="28.5" customHeight="1" x14ac:dyDescent="0.25">
      <c r="A113" s="1850"/>
      <c r="B113" s="1851"/>
      <c r="C113" s="855"/>
      <c r="D113" s="640"/>
      <c r="E113" s="850"/>
      <c r="F113" s="884"/>
      <c r="G113" s="1734"/>
      <c r="H113" s="1695"/>
      <c r="I113" s="1700"/>
      <c r="J113" s="1701"/>
      <c r="K113" s="1701"/>
      <c r="L113" s="1701"/>
      <c r="M113" s="1702"/>
      <c r="N113" s="6"/>
      <c r="O113" s="6"/>
      <c r="P113" s="6"/>
      <c r="Q113" s="6"/>
      <c r="R113" s="6"/>
      <c r="S113" s="6"/>
      <c r="T113" s="6"/>
      <c r="U113" s="6"/>
    </row>
    <row r="114" spans="1:21" ht="28.5" customHeight="1" x14ac:dyDescent="0.25">
      <c r="A114" s="1850"/>
      <c r="B114" s="1851"/>
      <c r="C114" s="855"/>
      <c r="D114" s="640"/>
      <c r="E114" s="850"/>
      <c r="F114" s="884"/>
      <c r="G114" s="1734"/>
      <c r="H114" s="1695"/>
      <c r="I114" s="1700"/>
      <c r="J114" s="1701"/>
      <c r="K114" s="1701"/>
      <c r="L114" s="1701"/>
      <c r="M114" s="1702"/>
      <c r="N114" s="6"/>
      <c r="O114" s="6"/>
      <c r="P114" s="6"/>
      <c r="Q114" s="6"/>
      <c r="R114" s="6"/>
      <c r="S114" s="6"/>
      <c r="T114" s="6"/>
      <c r="U114" s="6"/>
    </row>
    <row r="115" spans="1:21" ht="28.5" customHeight="1" x14ac:dyDescent="0.25">
      <c r="A115" s="1852"/>
      <c r="B115" s="1853"/>
      <c r="C115" s="855"/>
      <c r="D115" s="641"/>
      <c r="E115" s="850"/>
      <c r="F115" s="884"/>
      <c r="G115" s="1734"/>
      <c r="H115" s="1695"/>
      <c r="I115" s="1700"/>
      <c r="J115" s="1701"/>
      <c r="K115" s="1701"/>
      <c r="L115" s="1701"/>
      <c r="M115" s="1702"/>
      <c r="N115" s="6"/>
      <c r="O115" s="6"/>
      <c r="P115" s="6"/>
      <c r="Q115" s="6"/>
      <c r="R115" s="6"/>
      <c r="S115" s="6"/>
      <c r="T115" s="6"/>
      <c r="U115" s="6"/>
    </row>
    <row r="116" spans="1:21" ht="28.5" customHeight="1" thickBot="1" x14ac:dyDescent="0.3">
      <c r="A116" s="1854"/>
      <c r="B116" s="1855"/>
      <c r="C116" s="527"/>
      <c r="D116" s="528"/>
      <c r="E116" s="884"/>
      <c r="F116" s="884"/>
      <c r="G116" s="1856"/>
      <c r="H116" s="1857"/>
      <c r="I116" s="1700"/>
      <c r="J116" s="1701"/>
      <c r="K116" s="1701"/>
      <c r="L116" s="1701"/>
      <c r="M116" s="1702"/>
      <c r="N116" s="6"/>
      <c r="O116" s="6"/>
      <c r="P116" s="6"/>
      <c r="Q116" s="6"/>
      <c r="R116" s="6"/>
      <c r="S116" s="6"/>
      <c r="T116" s="6"/>
      <c r="U116" s="6"/>
    </row>
    <row r="117" spans="1:21" s="72" customFormat="1" ht="24" customHeight="1" thickBot="1" x14ac:dyDescent="0.3">
      <c r="A117" s="1741" t="s">
        <v>2</v>
      </c>
      <c r="B117" s="1742"/>
      <c r="C117" s="642"/>
      <c r="D117" s="529">
        <f>SUM(D104:D116)</f>
        <v>0</v>
      </c>
      <c r="E117" s="586">
        <f>SUM(E104:E116)</f>
        <v>0</v>
      </c>
      <c r="F117" s="586">
        <f>SUM(F104:F116)</f>
        <v>0</v>
      </c>
      <c r="G117" s="1730">
        <f>SUM(G104:H116)</f>
        <v>0</v>
      </c>
      <c r="H117" s="1731"/>
      <c r="I117" s="1703"/>
      <c r="J117" s="1704"/>
      <c r="K117" s="1704"/>
      <c r="L117" s="1704"/>
      <c r="M117" s="1705"/>
    </row>
    <row r="118" spans="1:21" ht="15.75" thickBot="1" x14ac:dyDescent="0.3">
      <c r="O118" s="6"/>
      <c r="P118" s="6"/>
      <c r="Q118" s="6"/>
      <c r="R118" s="6"/>
      <c r="S118" s="6"/>
      <c r="T118" s="6"/>
      <c r="U118" s="6"/>
    </row>
    <row r="119" spans="1:21" ht="18" x14ac:dyDescent="0.25">
      <c r="A119" s="1418" t="s">
        <v>749</v>
      </c>
      <c r="B119" s="1419"/>
      <c r="C119" s="1419"/>
      <c r="D119" s="1419"/>
      <c r="E119" s="1419"/>
      <c r="F119" s="1419"/>
      <c r="G119" s="1419"/>
      <c r="H119" s="1642"/>
      <c r="I119" s="1647" t="s">
        <v>819</v>
      </c>
      <c r="J119" s="1647"/>
      <c r="K119" s="1647"/>
      <c r="L119" s="1647"/>
      <c r="M119" s="1648"/>
      <c r="N119" s="6"/>
      <c r="O119" s="6"/>
      <c r="P119" s="6"/>
      <c r="Q119" s="6"/>
      <c r="R119" s="6"/>
      <c r="S119" s="6"/>
      <c r="T119" s="6"/>
      <c r="U119" s="6"/>
    </row>
    <row r="120" spans="1:21" s="9" customFormat="1" ht="15" customHeight="1" x14ac:dyDescent="0.25">
      <c r="A120" s="73"/>
      <c r="B120" s="74"/>
      <c r="C120" s="75"/>
      <c r="D120" s="75"/>
      <c r="E120" s="76"/>
      <c r="F120" s="75"/>
      <c r="G120" s="75"/>
      <c r="H120" s="716"/>
      <c r="I120" s="1735"/>
      <c r="J120" s="1735"/>
      <c r="K120" s="1735"/>
      <c r="L120" s="1735"/>
      <c r="M120" s="1736"/>
    </row>
    <row r="121" spans="1:21" s="9" customFormat="1" ht="60" customHeight="1" x14ac:dyDescent="0.25">
      <c r="A121" s="717" t="s">
        <v>69</v>
      </c>
      <c r="B121" s="852" t="s">
        <v>820</v>
      </c>
      <c r="C121" s="1194" t="s">
        <v>70</v>
      </c>
      <c r="D121" s="1194"/>
      <c r="E121" s="1194" t="s">
        <v>802</v>
      </c>
      <c r="F121" s="1194"/>
      <c r="G121" s="1194" t="s">
        <v>792</v>
      </c>
      <c r="H121" s="1743"/>
      <c r="I121" s="1735"/>
      <c r="J121" s="1735"/>
      <c r="K121" s="1735"/>
      <c r="L121" s="1735"/>
      <c r="M121" s="1736"/>
    </row>
    <row r="122" spans="1:21" s="78" customFormat="1" ht="16.5" thickBot="1" x14ac:dyDescent="0.3">
      <c r="A122" s="718">
        <f>$D$4*(H9/10)*216000</f>
        <v>0</v>
      </c>
      <c r="B122" s="719"/>
      <c r="C122" s="1729"/>
      <c r="D122" s="1729"/>
      <c r="E122" s="1729"/>
      <c r="F122" s="1729"/>
      <c r="G122" s="1729"/>
      <c r="H122" s="1744"/>
      <c r="I122" s="1737"/>
      <c r="J122" s="1737"/>
      <c r="K122" s="1737"/>
      <c r="L122" s="1737"/>
      <c r="M122" s="1738"/>
    </row>
    <row r="123" spans="1:21" s="85" customFormat="1" ht="16.5" thickBot="1" x14ac:dyDescent="0.3">
      <c r="A123" s="107"/>
      <c r="B123" s="530"/>
      <c r="C123" s="80"/>
      <c r="D123" s="80"/>
      <c r="E123" s="80"/>
      <c r="F123" s="81"/>
      <c r="G123" s="81"/>
      <c r="H123" s="82"/>
      <c r="I123" s="82"/>
      <c r="J123" s="83"/>
      <c r="K123" s="84"/>
      <c r="L123" s="34"/>
      <c r="M123" s="34"/>
    </row>
    <row r="124" spans="1:21" ht="18" x14ac:dyDescent="0.25">
      <c r="A124" s="578" t="s">
        <v>750</v>
      </c>
      <c r="B124" s="579"/>
      <c r="C124" s="579"/>
      <c r="D124" s="579"/>
      <c r="E124" s="579"/>
      <c r="F124" s="579"/>
      <c r="G124" s="579"/>
      <c r="H124" s="646"/>
      <c r="I124" s="1647" t="s">
        <v>819</v>
      </c>
      <c r="J124" s="1647"/>
      <c r="K124" s="1647"/>
      <c r="L124" s="1647"/>
      <c r="M124" s="1648"/>
      <c r="O124" s="6"/>
      <c r="P124" s="6"/>
      <c r="Q124" s="6"/>
      <c r="R124" s="6"/>
      <c r="S124" s="6"/>
      <c r="T124" s="6"/>
      <c r="U124" s="6"/>
    </row>
    <row r="125" spans="1:21" ht="15" customHeight="1" x14ac:dyDescent="0.25">
      <c r="A125" s="531"/>
      <c r="B125" s="532"/>
      <c r="C125" s="843"/>
      <c r="D125" s="87"/>
      <c r="E125" s="843"/>
      <c r="F125" s="843"/>
      <c r="G125" s="843"/>
      <c r="H125" s="88"/>
      <c r="I125" s="1650"/>
      <c r="J125" s="1650"/>
      <c r="K125" s="1650"/>
      <c r="L125" s="1650"/>
      <c r="M125" s="1651"/>
      <c r="N125" s="6"/>
      <c r="O125" s="6"/>
      <c r="P125" s="6"/>
      <c r="Q125" s="6"/>
      <c r="R125" s="6"/>
      <c r="S125" s="6"/>
      <c r="T125" s="6"/>
      <c r="U125" s="6"/>
    </row>
    <row r="126" spans="1:21" s="899" customFormat="1" ht="63" customHeight="1" x14ac:dyDescent="0.25">
      <c r="A126" s="849" t="s">
        <v>90</v>
      </c>
      <c r="B126" s="847" t="s">
        <v>91</v>
      </c>
      <c r="C126" s="847" t="s">
        <v>794</v>
      </c>
      <c r="D126" s="845" t="s">
        <v>144</v>
      </c>
      <c r="E126" s="847" t="s">
        <v>92</v>
      </c>
      <c r="F126" s="848" t="s">
        <v>800</v>
      </c>
      <c r="G126" s="1041" t="s">
        <v>792</v>
      </c>
      <c r="H126" s="1643"/>
      <c r="I126" s="1650"/>
      <c r="J126" s="1650"/>
      <c r="K126" s="1650"/>
      <c r="L126" s="1650"/>
      <c r="M126" s="1651"/>
    </row>
    <row r="127" spans="1:21" x14ac:dyDescent="0.25">
      <c r="A127" s="499" t="s">
        <v>93</v>
      </c>
      <c r="B127" s="644">
        <v>1</v>
      </c>
      <c r="C127" s="218"/>
      <c r="D127" s="873">
        <f>$D$4*C127*210000</f>
        <v>0</v>
      </c>
      <c r="E127" s="218"/>
      <c r="F127" s="218"/>
      <c r="G127" s="1844"/>
      <c r="H127" s="1845"/>
      <c r="I127" s="1650"/>
      <c r="J127" s="1650"/>
      <c r="K127" s="1650"/>
      <c r="L127" s="1650"/>
      <c r="M127" s="1651"/>
      <c r="N127" s="6"/>
      <c r="O127" s="6"/>
      <c r="P127" s="6"/>
      <c r="Q127" s="6"/>
      <c r="R127" s="6"/>
      <c r="S127" s="6"/>
      <c r="T127" s="6"/>
      <c r="U127" s="6"/>
    </row>
    <row r="128" spans="1:21" x14ac:dyDescent="0.25">
      <c r="A128" s="533" t="s">
        <v>94</v>
      </c>
      <c r="B128" s="645">
        <f>(D44+E44)</f>
        <v>0</v>
      </c>
      <c r="C128" s="164"/>
      <c r="D128" s="872">
        <f>$D$4*C128*50000</f>
        <v>0</v>
      </c>
      <c r="E128" s="218"/>
      <c r="F128" s="218"/>
      <c r="G128" s="1844"/>
      <c r="H128" s="1845"/>
      <c r="I128" s="1650"/>
      <c r="J128" s="1650"/>
      <c r="K128" s="1650"/>
      <c r="L128" s="1650"/>
      <c r="M128" s="1651"/>
      <c r="N128" s="6"/>
      <c r="O128" s="6"/>
      <c r="P128" s="6"/>
      <c r="Q128" s="6"/>
      <c r="R128" s="6"/>
      <c r="S128" s="6"/>
      <c r="T128" s="6"/>
      <c r="U128" s="6"/>
    </row>
    <row r="129" spans="1:21" x14ac:dyDescent="0.25">
      <c r="A129" s="533" t="s">
        <v>95</v>
      </c>
      <c r="B129" s="645">
        <f>B130+B131</f>
        <v>0</v>
      </c>
      <c r="C129" s="91"/>
      <c r="D129" s="643">
        <f>D130+D131</f>
        <v>0</v>
      </c>
      <c r="E129" s="537">
        <f>E130+E131</f>
        <v>0</v>
      </c>
      <c r="F129" s="537">
        <f>F130+F131</f>
        <v>0</v>
      </c>
      <c r="G129" s="1848">
        <f>G130+G131</f>
        <v>0</v>
      </c>
      <c r="H129" s="1849">
        <f>H130+H131</f>
        <v>0</v>
      </c>
      <c r="I129" s="1650"/>
      <c r="J129" s="1650"/>
      <c r="K129" s="1650"/>
      <c r="L129" s="1650"/>
      <c r="M129" s="1651"/>
      <c r="N129" s="6"/>
      <c r="O129" s="6"/>
      <c r="P129" s="6"/>
      <c r="Q129" s="6"/>
      <c r="R129" s="6"/>
      <c r="S129" s="6"/>
      <c r="T129" s="6"/>
      <c r="U129" s="6"/>
    </row>
    <row r="130" spans="1:21" x14ac:dyDescent="0.25">
      <c r="A130" s="534" t="s">
        <v>28</v>
      </c>
      <c r="B130" s="645">
        <f>H15/0.75</f>
        <v>0</v>
      </c>
      <c r="C130" s="164"/>
      <c r="D130" s="872">
        <f>$D$4*C130*45000+$D$4*C130*45000*20%</f>
        <v>0</v>
      </c>
      <c r="E130" s="218"/>
      <c r="F130" s="218"/>
      <c r="G130" s="1844"/>
      <c r="H130" s="1845"/>
      <c r="I130" s="1650"/>
      <c r="J130" s="1650"/>
      <c r="K130" s="1650"/>
      <c r="L130" s="1650"/>
      <c r="M130" s="1651"/>
      <c r="N130" s="6"/>
      <c r="O130" s="6"/>
      <c r="P130" s="6"/>
      <c r="Q130" s="6"/>
      <c r="R130" s="6"/>
      <c r="S130" s="6"/>
      <c r="T130" s="6"/>
      <c r="U130" s="6"/>
    </row>
    <row r="131" spans="1:21" x14ac:dyDescent="0.25">
      <c r="A131" s="534" t="s">
        <v>96</v>
      </c>
      <c r="B131" s="645">
        <f>(H9-H15-H16)/1.5+(H16/0.75)</f>
        <v>0</v>
      </c>
      <c r="C131" s="164"/>
      <c r="D131" s="872">
        <f>$D$4*C131*45000</f>
        <v>0</v>
      </c>
      <c r="E131" s="218"/>
      <c r="F131" s="218"/>
      <c r="G131" s="1844"/>
      <c r="H131" s="1845"/>
      <c r="I131" s="1650"/>
      <c r="J131" s="1650"/>
      <c r="K131" s="1650"/>
      <c r="L131" s="1650"/>
      <c r="M131" s="1651"/>
      <c r="N131" s="6"/>
      <c r="O131" s="6"/>
      <c r="P131" s="6"/>
      <c r="Q131" s="6"/>
      <c r="R131" s="6"/>
      <c r="S131" s="6"/>
      <c r="T131" s="6"/>
      <c r="U131" s="6"/>
    </row>
    <row r="132" spans="1:21" x14ac:dyDescent="0.25">
      <c r="A132" s="533" t="s">
        <v>97</v>
      </c>
      <c r="B132" s="645">
        <f>B133+B134</f>
        <v>0</v>
      </c>
      <c r="C132" s="91"/>
      <c r="D132" s="872">
        <f>D133+D134</f>
        <v>0</v>
      </c>
      <c r="E132" s="537">
        <f>E133+E134</f>
        <v>0</v>
      </c>
      <c r="F132" s="537">
        <f>F133+F134</f>
        <v>0</v>
      </c>
      <c r="G132" s="1848">
        <f>G133+G134</f>
        <v>0</v>
      </c>
      <c r="H132" s="1849">
        <f>H133+H134</f>
        <v>0</v>
      </c>
      <c r="I132" s="1650"/>
      <c r="J132" s="1650"/>
      <c r="K132" s="1650"/>
      <c r="L132" s="1650"/>
      <c r="M132" s="1651"/>
      <c r="N132" s="6"/>
      <c r="O132" s="6"/>
      <c r="P132" s="6"/>
      <c r="Q132" s="6"/>
      <c r="R132" s="6"/>
      <c r="S132" s="6"/>
      <c r="T132" s="6"/>
      <c r="U132" s="6"/>
    </row>
    <row r="133" spans="1:21" x14ac:dyDescent="0.25">
      <c r="A133" s="534" t="s">
        <v>28</v>
      </c>
      <c r="B133" s="720"/>
      <c r="C133" s="164"/>
      <c r="D133" s="872">
        <f>$D$4*C133*35000+$D$4*C133*35000*20%</f>
        <v>0</v>
      </c>
      <c r="E133" s="218"/>
      <c r="F133" s="218"/>
      <c r="G133" s="1844"/>
      <c r="H133" s="1845"/>
      <c r="I133" s="1650"/>
      <c r="J133" s="1650"/>
      <c r="K133" s="1650"/>
      <c r="L133" s="1650"/>
      <c r="M133" s="1651"/>
      <c r="N133" s="6"/>
      <c r="O133" s="6"/>
      <c r="P133" s="6"/>
      <c r="Q133" s="6"/>
      <c r="R133" s="6"/>
      <c r="S133" s="6"/>
      <c r="T133" s="6"/>
      <c r="U133" s="6"/>
    </row>
    <row r="134" spans="1:21" ht="15.75" thickBot="1" x14ac:dyDescent="0.3">
      <c r="A134" s="534" t="s">
        <v>96</v>
      </c>
      <c r="B134" s="720"/>
      <c r="C134" s="164"/>
      <c r="D134" s="872">
        <f>$D$4*C134*35000</f>
        <v>0</v>
      </c>
      <c r="E134" s="164"/>
      <c r="F134" s="164"/>
      <c r="G134" s="1846"/>
      <c r="H134" s="1847"/>
      <c r="I134" s="1650"/>
      <c r="J134" s="1650"/>
      <c r="K134" s="1650"/>
      <c r="L134" s="1650"/>
      <c r="M134" s="1651"/>
      <c r="N134" s="6"/>
      <c r="O134" s="6"/>
      <c r="P134" s="6"/>
      <c r="Q134" s="6"/>
      <c r="R134" s="6"/>
      <c r="S134" s="6"/>
      <c r="T134" s="6"/>
      <c r="U134" s="6"/>
    </row>
    <row r="135" spans="1:21" s="98" customFormat="1" ht="16.5" thickBot="1" x14ac:dyDescent="0.3">
      <c r="A135" s="1308" t="s">
        <v>2</v>
      </c>
      <c r="B135" s="1309"/>
      <c r="C135" s="1309"/>
      <c r="D135" s="95">
        <f>SUM(D127:D129,D132)</f>
        <v>0</v>
      </c>
      <c r="E135" s="907">
        <f>SUM(E127:E129,E132)</f>
        <v>0</v>
      </c>
      <c r="F135" s="647"/>
      <c r="G135" s="1723">
        <f>SUM(G127:G129,G132)</f>
        <v>0</v>
      </c>
      <c r="H135" s="1724"/>
      <c r="I135" s="1653"/>
      <c r="J135" s="1653"/>
      <c r="K135" s="1653"/>
      <c r="L135" s="1653"/>
      <c r="M135" s="1654"/>
    </row>
    <row r="136" spans="1:21" s="9" customFormat="1" ht="15.75" thickBot="1" x14ac:dyDescent="0.3">
      <c r="A136" s="535"/>
      <c r="B136" s="535"/>
      <c r="C136" s="99"/>
      <c r="D136" s="79"/>
      <c r="E136" s="81"/>
      <c r="F136" s="81"/>
      <c r="G136" s="81"/>
      <c r="H136" s="81"/>
      <c r="I136" s="81"/>
      <c r="J136" s="81"/>
      <c r="K136" s="82"/>
      <c r="L136" s="82"/>
      <c r="M136" s="82"/>
      <c r="N136" s="101"/>
    </row>
    <row r="137" spans="1:21" s="102" customFormat="1" ht="18.75" x14ac:dyDescent="0.3">
      <c r="A137" s="1201" t="s">
        <v>751</v>
      </c>
      <c r="B137" s="1202"/>
      <c r="C137" s="1202"/>
      <c r="D137" s="1202"/>
      <c r="E137" s="1202"/>
      <c r="F137" s="1202"/>
      <c r="G137" s="1202"/>
      <c r="H137" s="1451"/>
      <c r="I137" s="1646" t="s">
        <v>819</v>
      </c>
      <c r="J137" s="1647"/>
      <c r="K137" s="1647"/>
      <c r="L137" s="1647"/>
      <c r="M137" s="1648"/>
      <c r="N137" s="103"/>
    </row>
    <row r="138" spans="1:21" ht="12.75" customHeight="1" x14ac:dyDescent="0.25">
      <c r="A138" s="536"/>
      <c r="B138" s="584"/>
      <c r="C138" s="587"/>
      <c r="D138" s="587"/>
      <c r="E138" s="587"/>
      <c r="F138" s="587"/>
      <c r="G138" s="587"/>
      <c r="H138" s="648"/>
      <c r="I138" s="1685"/>
      <c r="J138" s="1686"/>
      <c r="K138" s="1686"/>
      <c r="L138" s="1686"/>
      <c r="M138" s="1687"/>
      <c r="N138" s="6"/>
      <c r="O138" s="6"/>
      <c r="P138" s="6"/>
      <c r="Q138" s="6"/>
      <c r="R138" s="6"/>
      <c r="S138" s="6"/>
      <c r="T138" s="6"/>
      <c r="U138" s="6"/>
    </row>
    <row r="139" spans="1:21" s="899" customFormat="1" ht="51" customHeight="1" x14ac:dyDescent="0.25">
      <c r="A139" s="849" t="s">
        <v>98</v>
      </c>
      <c r="B139" s="847" t="s">
        <v>752</v>
      </c>
      <c r="C139" s="847" t="s">
        <v>99</v>
      </c>
      <c r="D139" s="845" t="s">
        <v>69</v>
      </c>
      <c r="E139" s="847" t="s">
        <v>100</v>
      </c>
      <c r="F139" s="847" t="s">
        <v>800</v>
      </c>
      <c r="G139" s="1041" t="s">
        <v>792</v>
      </c>
      <c r="H139" s="1643"/>
      <c r="I139" s="1685"/>
      <c r="J139" s="1686"/>
      <c r="K139" s="1686"/>
      <c r="L139" s="1686"/>
      <c r="M139" s="1687"/>
    </row>
    <row r="140" spans="1:21" x14ac:dyDescent="0.25">
      <c r="A140" s="721" t="s">
        <v>101</v>
      </c>
      <c r="B140" s="871">
        <v>1</v>
      </c>
      <c r="C140" s="218"/>
      <c r="D140" s="17">
        <f>$D$4*C140*COUNTIF(B5,"Tribal/Hilly")*1200*(25*12)+$D$4*C140*COUNTIF(B5,"Urban")*1100*(25*12)+$D$4*C140*COUNTIF(B5,"Rural")*1100*(25*12)</f>
        <v>0</v>
      </c>
      <c r="E140" s="165"/>
      <c r="F140" s="905"/>
      <c r="G140" s="1719"/>
      <c r="H140" s="1720"/>
      <c r="I140" s="1685"/>
      <c r="J140" s="1686"/>
      <c r="K140" s="1686"/>
      <c r="L140" s="1686"/>
      <c r="M140" s="1687"/>
      <c r="N140" s="6"/>
      <c r="O140" s="6"/>
      <c r="P140" s="6"/>
      <c r="Q140" s="6"/>
      <c r="R140" s="6"/>
      <c r="S140" s="6"/>
      <c r="T140" s="6"/>
      <c r="U140" s="6"/>
    </row>
    <row r="141" spans="1:21" x14ac:dyDescent="0.25">
      <c r="A141" s="721" t="s">
        <v>102</v>
      </c>
      <c r="B141" s="908">
        <f>SUM(B142:B143)</f>
        <v>0</v>
      </c>
      <c r="C141" s="537">
        <f>SUM(C142:C143)</f>
        <v>0</v>
      </c>
      <c r="D141" s="17">
        <f>SUM(D142:D143)</f>
        <v>0</v>
      </c>
      <c r="E141" s="618">
        <f>SUM(E142:E143)</f>
        <v>0</v>
      </c>
      <c r="F141" s="906">
        <f>SUM(F142:G143)</f>
        <v>0</v>
      </c>
      <c r="G141" s="1732">
        <f>SUM(H142:I143)</f>
        <v>0</v>
      </c>
      <c r="H141" s="1733"/>
      <c r="I141" s="1685"/>
      <c r="J141" s="1686"/>
      <c r="K141" s="1686"/>
      <c r="L141" s="1686"/>
      <c r="M141" s="1687"/>
      <c r="N141" s="6"/>
      <c r="O141" s="6"/>
      <c r="P141" s="6"/>
      <c r="Q141" s="6"/>
      <c r="R141" s="6"/>
      <c r="S141" s="6"/>
      <c r="T141" s="6"/>
      <c r="U141" s="6"/>
    </row>
    <row r="142" spans="1:21" x14ac:dyDescent="0.25">
      <c r="A142" s="721" t="s">
        <v>28</v>
      </c>
      <c r="B142" s="1727">
        <f>B128-C128</f>
        <v>0</v>
      </c>
      <c r="C142" s="218"/>
      <c r="D142" s="17">
        <f>$D$4*C142*(7*12)*1200</f>
        <v>0</v>
      </c>
      <c r="E142" s="165"/>
      <c r="F142" s="905"/>
      <c r="G142" s="1719"/>
      <c r="H142" s="1720"/>
      <c r="I142" s="1685"/>
      <c r="J142" s="1686"/>
      <c r="K142" s="1686"/>
      <c r="L142" s="1686"/>
      <c r="M142" s="1687"/>
      <c r="N142" s="6"/>
      <c r="O142" s="6"/>
      <c r="P142" s="6"/>
      <c r="Q142" s="6"/>
      <c r="R142" s="6"/>
      <c r="S142" s="6"/>
      <c r="T142" s="6"/>
      <c r="U142" s="6"/>
    </row>
    <row r="143" spans="1:21" ht="15.75" thickBot="1" x14ac:dyDescent="0.3">
      <c r="A143" s="741" t="s">
        <v>96</v>
      </c>
      <c r="B143" s="1728"/>
      <c r="C143" s="164"/>
      <c r="D143" s="898">
        <f>$D$4*C143*(7*12)*1100</f>
        <v>0</v>
      </c>
      <c r="E143" s="167"/>
      <c r="F143" s="858"/>
      <c r="G143" s="1252"/>
      <c r="H143" s="1721"/>
      <c r="I143" s="1685"/>
      <c r="J143" s="1686"/>
      <c r="K143" s="1686"/>
      <c r="L143" s="1686"/>
      <c r="M143" s="1687"/>
      <c r="N143" s="6"/>
      <c r="O143" s="6"/>
      <c r="P143" s="6"/>
      <c r="Q143" s="6"/>
      <c r="R143" s="6"/>
      <c r="S143" s="6"/>
      <c r="T143" s="6"/>
      <c r="U143" s="6"/>
    </row>
    <row r="144" spans="1:21" s="106" customFormat="1" ht="16.5" thickBot="1" x14ac:dyDescent="0.3">
      <c r="A144" s="1725" t="s">
        <v>2</v>
      </c>
      <c r="B144" s="1726"/>
      <c r="C144" s="1726"/>
      <c r="D144" s="200">
        <f>SUM(D140:D141)</f>
        <v>0</v>
      </c>
      <c r="E144" s="105">
        <f>SUM(E140:E141)</f>
        <v>0</v>
      </c>
      <c r="F144" s="863">
        <f>SUM(F140:F141)</f>
        <v>0</v>
      </c>
      <c r="G144" s="1186">
        <f>SUM(G140:G141)</f>
        <v>0</v>
      </c>
      <c r="H144" s="1722"/>
      <c r="I144" s="1688"/>
      <c r="J144" s="1689"/>
      <c r="K144" s="1689"/>
      <c r="L144" s="1689"/>
      <c r="M144" s="1690"/>
    </row>
    <row r="145" spans="1:21" s="85" customFormat="1" ht="15.75" thickBot="1" x14ac:dyDescent="0.25">
      <c r="A145" s="535"/>
      <c r="B145" s="535"/>
      <c r="C145" s="99"/>
      <c r="D145" s="107"/>
      <c r="E145" s="107"/>
      <c r="F145" s="81"/>
      <c r="G145" s="81"/>
      <c r="H145" s="100"/>
      <c r="I145" s="100"/>
      <c r="J145" s="100"/>
      <c r="K145" s="100"/>
      <c r="L145" s="108"/>
      <c r="M145" s="108"/>
    </row>
    <row r="146" spans="1:21" ht="18" x14ac:dyDescent="0.25">
      <c r="A146" s="1418" t="s">
        <v>753</v>
      </c>
      <c r="B146" s="1419"/>
      <c r="C146" s="1419"/>
      <c r="D146" s="1419"/>
      <c r="E146" s="1419"/>
      <c r="F146" s="1419"/>
      <c r="G146" s="1419"/>
      <c r="H146" s="1642"/>
      <c r="I146" s="1646" t="s">
        <v>819</v>
      </c>
      <c r="J146" s="1647"/>
      <c r="K146" s="1647"/>
      <c r="L146" s="1647"/>
      <c r="M146" s="1648"/>
      <c r="O146" s="6"/>
      <c r="P146" s="6"/>
      <c r="Q146" s="6"/>
      <c r="R146" s="6"/>
      <c r="S146" s="6"/>
      <c r="T146" s="6"/>
      <c r="U146" s="6"/>
    </row>
    <row r="147" spans="1:21" ht="15" customHeight="1" x14ac:dyDescent="0.25">
      <c r="A147" s="538"/>
      <c r="B147" s="71"/>
      <c r="C147" s="6"/>
      <c r="D147" s="6"/>
      <c r="E147" s="6"/>
      <c r="F147" s="6"/>
      <c r="G147" s="6"/>
      <c r="H147" s="128"/>
      <c r="I147" s="1710"/>
      <c r="J147" s="1711"/>
      <c r="K147" s="1711"/>
      <c r="L147" s="1711"/>
      <c r="M147" s="1712"/>
      <c r="N147" s="6"/>
      <c r="O147" s="6"/>
      <c r="P147" s="6"/>
      <c r="Q147" s="6"/>
      <c r="R147" s="6"/>
      <c r="S147" s="6"/>
      <c r="T147" s="6"/>
      <c r="U147" s="6"/>
    </row>
    <row r="148" spans="1:21" ht="88.5" customHeight="1" x14ac:dyDescent="0.25">
      <c r="A148" s="110" t="s">
        <v>42</v>
      </c>
      <c r="B148" s="111" t="s">
        <v>821</v>
      </c>
      <c r="C148" s="862" t="s">
        <v>754</v>
      </c>
      <c r="D148" s="862" t="s">
        <v>103</v>
      </c>
      <c r="E148" s="862" t="s">
        <v>104</v>
      </c>
      <c r="F148" s="862" t="s">
        <v>803</v>
      </c>
      <c r="G148" s="1282" t="s">
        <v>795</v>
      </c>
      <c r="H148" s="1716"/>
      <c r="I148" s="1710"/>
      <c r="J148" s="1711"/>
      <c r="K148" s="1711"/>
      <c r="L148" s="1711"/>
      <c r="M148" s="1712"/>
      <c r="N148" s="6"/>
      <c r="O148" s="6"/>
      <c r="P148" s="6"/>
      <c r="Q148" s="6"/>
      <c r="R148" s="6"/>
      <c r="S148" s="6"/>
      <c r="T148" s="6"/>
      <c r="U148" s="6"/>
    </row>
    <row r="149" spans="1:21" x14ac:dyDescent="0.25">
      <c r="A149" s="112" t="s">
        <v>105</v>
      </c>
      <c r="B149" s="873">
        <f>$D$4*(H9/10)*500000</f>
        <v>0</v>
      </c>
      <c r="C149" s="168"/>
      <c r="D149" s="168"/>
      <c r="E149" s="888"/>
      <c r="F149" s="561"/>
      <c r="G149" s="1717"/>
      <c r="H149" s="1718"/>
      <c r="I149" s="1710"/>
      <c r="J149" s="1711"/>
      <c r="K149" s="1711"/>
      <c r="L149" s="1711"/>
      <c r="M149" s="1712"/>
      <c r="N149" s="6"/>
      <c r="O149" s="6"/>
      <c r="P149" s="6"/>
      <c r="Q149" s="6"/>
      <c r="R149" s="6"/>
      <c r="S149" s="6"/>
      <c r="T149" s="6"/>
      <c r="U149" s="6"/>
    </row>
    <row r="150" spans="1:21" ht="30" customHeight="1" x14ac:dyDescent="0.25">
      <c r="A150" s="114" t="s">
        <v>106</v>
      </c>
      <c r="B150" s="722">
        <v>1</v>
      </c>
      <c r="C150" s="168"/>
      <c r="D150" s="168"/>
      <c r="E150" s="561"/>
      <c r="F150" s="561"/>
      <c r="G150" s="1717"/>
      <c r="H150" s="1718"/>
      <c r="I150" s="1710"/>
      <c r="J150" s="1711"/>
      <c r="K150" s="1711"/>
      <c r="L150" s="1711"/>
      <c r="M150" s="1712"/>
      <c r="N150" s="6"/>
      <c r="O150" s="6"/>
      <c r="P150" s="6"/>
      <c r="Q150" s="6"/>
      <c r="R150" s="6"/>
      <c r="S150" s="6"/>
      <c r="T150" s="6"/>
      <c r="U150" s="6"/>
    </row>
    <row r="151" spans="1:21" ht="15.75" thickBot="1" x14ac:dyDescent="0.3">
      <c r="A151" s="115" t="s">
        <v>107</v>
      </c>
      <c r="B151" s="723">
        <f>H11/1</f>
        <v>0</v>
      </c>
      <c r="C151" s="539"/>
      <c r="D151" s="539"/>
      <c r="E151" s="562"/>
      <c r="F151" s="562"/>
      <c r="G151" s="1834"/>
      <c r="H151" s="1835"/>
      <c r="I151" s="1710"/>
      <c r="J151" s="1711"/>
      <c r="K151" s="1711"/>
      <c r="L151" s="1711"/>
      <c r="M151" s="1712"/>
      <c r="N151" s="6"/>
      <c r="O151" s="6"/>
      <c r="P151" s="6"/>
      <c r="Q151" s="6"/>
      <c r="R151" s="6"/>
      <c r="S151" s="6"/>
      <c r="T151" s="6"/>
      <c r="U151" s="6"/>
    </row>
    <row r="152" spans="1:21" ht="16.5" thickBot="1" x14ac:dyDescent="0.3">
      <c r="A152" s="580" t="s">
        <v>2</v>
      </c>
      <c r="B152" s="651">
        <f>SUM(B149:B151)</f>
        <v>1</v>
      </c>
      <c r="C152" s="650"/>
      <c r="D152" s="649"/>
      <c r="E152" s="118">
        <f>SUM(E149:E151)</f>
        <v>0</v>
      </c>
      <c r="F152" s="118">
        <f>SUM(F149:F151)</f>
        <v>0</v>
      </c>
      <c r="G152" s="1304">
        <f>SUM(G149:G151)</f>
        <v>0</v>
      </c>
      <c r="H152" s="1836"/>
      <c r="I152" s="1713"/>
      <c r="J152" s="1714"/>
      <c r="K152" s="1714"/>
      <c r="L152" s="1714"/>
      <c r="M152" s="1715"/>
      <c r="N152" s="6"/>
      <c r="O152" s="6"/>
      <c r="P152" s="6"/>
      <c r="Q152" s="6"/>
      <c r="R152" s="6"/>
      <c r="S152" s="6"/>
      <c r="T152" s="6"/>
      <c r="U152" s="6"/>
    </row>
    <row r="153" spans="1:21" x14ac:dyDescent="0.25">
      <c r="A153" s="540"/>
      <c r="N153" s="6"/>
      <c r="O153" s="6"/>
      <c r="P153" s="6"/>
      <c r="Q153" s="6"/>
      <c r="R153" s="6"/>
      <c r="S153" s="6"/>
      <c r="T153" s="6"/>
      <c r="U153" s="6"/>
    </row>
    <row r="154" spans="1:21" s="102" customFormat="1" ht="18.75" x14ac:dyDescent="0.3">
      <c r="A154" s="559" t="s">
        <v>755</v>
      </c>
      <c r="B154" s="560"/>
      <c r="C154" s="560"/>
      <c r="D154" s="560"/>
      <c r="E154" s="560"/>
      <c r="F154" s="560"/>
      <c r="G154" s="560"/>
      <c r="H154" s="560"/>
      <c r="I154" s="560"/>
      <c r="J154" s="560"/>
      <c r="K154" s="560"/>
      <c r="L154" s="560"/>
      <c r="M154" s="560"/>
    </row>
    <row r="155" spans="1:21" ht="15.75" thickBot="1" x14ac:dyDescent="0.3">
      <c r="A155" s="541"/>
      <c r="N155" s="6"/>
      <c r="O155" s="6"/>
      <c r="P155" s="6"/>
      <c r="Q155" s="6"/>
      <c r="R155" s="6"/>
      <c r="S155" s="6"/>
      <c r="T155" s="6"/>
      <c r="U155" s="6"/>
    </row>
    <row r="156" spans="1:21" ht="14.25" customHeight="1" x14ac:dyDescent="0.25">
      <c r="A156" s="1840" t="s">
        <v>108</v>
      </c>
      <c r="B156" s="1841"/>
      <c r="C156" s="1841"/>
      <c r="D156" s="1841"/>
      <c r="E156" s="1841"/>
      <c r="F156" s="1841"/>
      <c r="G156" s="1841"/>
      <c r="H156" s="1841"/>
      <c r="I156" s="904" t="s">
        <v>109</v>
      </c>
      <c r="J156" s="1842" t="s">
        <v>110</v>
      </c>
      <c r="K156" s="1843"/>
      <c r="N156" s="6"/>
      <c r="O156" s="6"/>
      <c r="P156" s="6"/>
      <c r="Q156" s="6"/>
      <c r="R156" s="6"/>
      <c r="S156" s="6"/>
      <c r="T156" s="6"/>
      <c r="U156" s="6"/>
    </row>
    <row r="157" spans="1:21" x14ac:dyDescent="0.25">
      <c r="A157" s="1258" t="s">
        <v>756</v>
      </c>
      <c r="B157" s="1259"/>
      <c r="C157" s="1259"/>
      <c r="D157" s="1259"/>
      <c r="E157" s="1259"/>
      <c r="F157" s="1259"/>
      <c r="G157" s="1259"/>
      <c r="H157" s="1259"/>
      <c r="I157" s="901"/>
      <c r="J157" s="1827"/>
      <c r="K157" s="1828"/>
      <c r="N157" s="6"/>
      <c r="O157" s="6"/>
      <c r="P157" s="6"/>
      <c r="Q157" s="6"/>
      <c r="R157" s="6"/>
      <c r="S157" s="6"/>
      <c r="T157" s="6"/>
      <c r="U157" s="6"/>
    </row>
    <row r="158" spans="1:21" ht="15" customHeight="1" x14ac:dyDescent="0.25">
      <c r="A158" s="1258" t="s">
        <v>111</v>
      </c>
      <c r="B158" s="1259"/>
      <c r="C158" s="1259"/>
      <c r="D158" s="1259"/>
      <c r="E158" s="1259"/>
      <c r="F158" s="1259"/>
      <c r="G158" s="1259"/>
      <c r="H158" s="1259"/>
      <c r="I158" s="901"/>
      <c r="J158" s="1827"/>
      <c r="K158" s="1828"/>
      <c r="N158" s="6"/>
      <c r="O158" s="6"/>
      <c r="P158" s="6"/>
      <c r="Q158" s="6"/>
      <c r="R158" s="6"/>
      <c r="S158" s="6"/>
      <c r="T158" s="6"/>
      <c r="U158" s="6"/>
    </row>
    <row r="159" spans="1:21" ht="15" customHeight="1" x14ac:dyDescent="0.25">
      <c r="A159" s="1258" t="s">
        <v>112</v>
      </c>
      <c r="B159" s="1259"/>
      <c r="C159" s="1259"/>
      <c r="D159" s="1259"/>
      <c r="E159" s="1259"/>
      <c r="F159" s="1259"/>
      <c r="G159" s="1259"/>
      <c r="H159" s="1259"/>
      <c r="I159" s="901"/>
      <c r="J159" s="1827"/>
      <c r="K159" s="1828"/>
      <c r="N159" s="6"/>
      <c r="O159" s="6"/>
      <c r="P159" s="6"/>
      <c r="Q159" s="6"/>
      <c r="R159" s="6"/>
      <c r="S159" s="6"/>
      <c r="T159" s="6"/>
      <c r="U159" s="6"/>
    </row>
    <row r="160" spans="1:21" ht="15" customHeight="1" x14ac:dyDescent="0.25">
      <c r="A160" s="1258" t="s">
        <v>113</v>
      </c>
      <c r="B160" s="1259"/>
      <c r="C160" s="1259"/>
      <c r="D160" s="1259"/>
      <c r="E160" s="1259"/>
      <c r="F160" s="1259"/>
      <c r="G160" s="1259"/>
      <c r="H160" s="1259"/>
      <c r="I160" s="901"/>
      <c r="J160" s="1827"/>
      <c r="K160" s="1828"/>
      <c r="N160" s="6"/>
      <c r="O160" s="6"/>
      <c r="P160" s="6"/>
      <c r="Q160" s="6"/>
      <c r="R160" s="6"/>
      <c r="S160" s="6"/>
      <c r="T160" s="6"/>
      <c r="U160" s="6"/>
    </row>
    <row r="161" spans="1:21" ht="15" customHeight="1" thickBot="1" x14ac:dyDescent="0.3">
      <c r="A161" s="1287" t="s">
        <v>114</v>
      </c>
      <c r="B161" s="1288"/>
      <c r="C161" s="1288"/>
      <c r="D161" s="1288"/>
      <c r="E161" s="1288"/>
      <c r="F161" s="1288"/>
      <c r="G161" s="1288"/>
      <c r="H161" s="1288"/>
      <c r="I161" s="903"/>
      <c r="J161" s="1829"/>
      <c r="K161" s="1830"/>
      <c r="N161" s="6"/>
      <c r="O161" s="6"/>
      <c r="P161" s="6"/>
      <c r="Q161" s="6"/>
      <c r="R161" s="6"/>
      <c r="S161" s="6"/>
      <c r="T161" s="6"/>
      <c r="U161" s="6"/>
    </row>
    <row r="162" spans="1:21" ht="15" customHeight="1" x14ac:dyDescent="0.25">
      <c r="A162" s="121"/>
      <c r="B162" s="121"/>
      <c r="C162" s="121"/>
      <c r="D162" s="121"/>
      <c r="E162" s="121"/>
      <c r="F162" s="121"/>
      <c r="G162" s="121"/>
      <c r="H162" s="121"/>
      <c r="I162" s="122"/>
      <c r="J162" s="122"/>
      <c r="K162" s="122"/>
      <c r="N162" s="6"/>
      <c r="O162" s="6"/>
      <c r="P162" s="6"/>
      <c r="Q162" s="6"/>
      <c r="R162" s="6"/>
      <c r="S162" s="6"/>
      <c r="T162" s="6"/>
      <c r="U162" s="6"/>
    </row>
    <row r="163" spans="1:21" ht="15" customHeight="1" thickBot="1" x14ac:dyDescent="0.3">
      <c r="A163" s="121"/>
      <c r="B163" s="121"/>
      <c r="C163" s="121"/>
      <c r="D163" s="121"/>
      <c r="E163" s="121"/>
      <c r="F163" s="121"/>
      <c r="G163" s="121"/>
      <c r="H163" s="121"/>
      <c r="I163" s="122"/>
      <c r="J163" s="122"/>
      <c r="K163" s="122"/>
      <c r="N163" s="6"/>
      <c r="O163" s="6"/>
      <c r="P163" s="6"/>
      <c r="Q163" s="6"/>
      <c r="R163" s="6"/>
      <c r="S163" s="6"/>
      <c r="T163" s="6"/>
      <c r="U163" s="6"/>
    </row>
    <row r="164" spans="1:21" ht="15" customHeight="1" x14ac:dyDescent="0.25">
      <c r="A164" s="1328" t="s">
        <v>42</v>
      </c>
      <c r="B164" s="1329"/>
      <c r="C164" s="1831" t="s">
        <v>757</v>
      </c>
      <c r="D164" s="1816" t="s">
        <v>116</v>
      </c>
      <c r="E164" s="1331" t="s">
        <v>117</v>
      </c>
      <c r="F164" s="1818" t="s">
        <v>800</v>
      </c>
      <c r="G164" s="1331" t="s">
        <v>822</v>
      </c>
      <c r="H164" s="1821" t="s">
        <v>796</v>
      </c>
      <c r="I164" s="1823" t="s">
        <v>819</v>
      </c>
      <c r="J164" s="1823"/>
      <c r="K164" s="1823"/>
      <c r="L164" s="1823"/>
      <c r="M164" s="1823"/>
      <c r="N164" s="6"/>
      <c r="O164" s="6"/>
      <c r="P164" s="6"/>
      <c r="Q164" s="6"/>
      <c r="R164" s="6"/>
      <c r="S164" s="6"/>
      <c r="T164" s="6"/>
      <c r="U164" s="6"/>
    </row>
    <row r="165" spans="1:21" ht="15" customHeight="1" x14ac:dyDescent="0.25">
      <c r="A165" s="1330"/>
      <c r="B165" s="927"/>
      <c r="C165" s="1832"/>
      <c r="D165" s="1817"/>
      <c r="E165" s="1332"/>
      <c r="F165" s="1819"/>
      <c r="G165" s="1332"/>
      <c r="H165" s="1822"/>
      <c r="I165" s="1824"/>
      <c r="J165" s="1824"/>
      <c r="K165" s="1824"/>
      <c r="L165" s="1824"/>
      <c r="M165" s="1824"/>
      <c r="N165" s="6"/>
      <c r="O165" s="6"/>
      <c r="P165" s="6"/>
      <c r="Q165" s="6"/>
      <c r="R165" s="6"/>
      <c r="S165" s="6"/>
      <c r="T165" s="6"/>
      <c r="U165" s="6"/>
    </row>
    <row r="166" spans="1:21" ht="28.5" customHeight="1" x14ac:dyDescent="0.25">
      <c r="A166" s="1330"/>
      <c r="B166" s="927"/>
      <c r="C166" s="1833"/>
      <c r="D166" s="1137"/>
      <c r="E166" s="1332"/>
      <c r="F166" s="1820"/>
      <c r="G166" s="1332"/>
      <c r="H166" s="1822"/>
      <c r="I166" s="1825"/>
      <c r="J166" s="1825"/>
      <c r="K166" s="1825"/>
      <c r="L166" s="1825"/>
      <c r="M166" s="1825"/>
      <c r="N166" s="6"/>
      <c r="O166" s="6"/>
      <c r="P166" s="6"/>
      <c r="Q166" s="6"/>
      <c r="R166" s="6"/>
      <c r="S166" s="6"/>
      <c r="T166" s="6"/>
      <c r="U166" s="6"/>
    </row>
    <row r="167" spans="1:21" x14ac:dyDescent="0.25">
      <c r="A167" s="1838" t="s">
        <v>823</v>
      </c>
      <c r="B167" s="1839"/>
      <c r="C167" s="868"/>
      <c r="D167" s="1318"/>
      <c r="E167" s="1319"/>
      <c r="F167" s="1318"/>
      <c r="G167" s="1319"/>
      <c r="H167" s="660"/>
      <c r="I167" s="1826"/>
      <c r="J167" s="1826"/>
      <c r="K167" s="1826"/>
      <c r="L167" s="1826"/>
      <c r="M167" s="1826"/>
      <c r="O167" s="6"/>
      <c r="P167" s="6"/>
      <c r="Q167" s="6"/>
      <c r="R167" s="6"/>
      <c r="S167" s="6"/>
      <c r="T167" s="6"/>
      <c r="U167" s="6"/>
    </row>
    <row r="168" spans="1:21" ht="28.5" x14ac:dyDescent="0.25">
      <c r="A168" s="859" t="s">
        <v>121</v>
      </c>
      <c r="B168" s="852" t="s">
        <v>758</v>
      </c>
      <c r="C168" s="901"/>
      <c r="D168" s="901"/>
      <c r="E168" s="901"/>
      <c r="F168" s="542"/>
      <c r="G168" s="542"/>
      <c r="H168" s="902"/>
      <c r="I168" s="1650"/>
      <c r="J168" s="1650"/>
      <c r="K168" s="1650"/>
      <c r="L168" s="1650"/>
      <c r="M168" s="1650"/>
      <c r="N168" s="6"/>
      <c r="O168" s="6"/>
      <c r="P168" s="6"/>
      <c r="Q168" s="6"/>
      <c r="R168" s="6"/>
      <c r="S168" s="6"/>
      <c r="T168" s="6"/>
      <c r="U168" s="6"/>
    </row>
    <row r="169" spans="1:21" x14ac:dyDescent="0.25">
      <c r="A169" s="859" t="s">
        <v>122</v>
      </c>
      <c r="B169" s="852" t="s">
        <v>759</v>
      </c>
      <c r="C169" s="901"/>
      <c r="D169" s="901"/>
      <c r="E169" s="901"/>
      <c r="F169" s="542"/>
      <c r="G169" s="542"/>
      <c r="H169" s="902"/>
      <c r="I169" s="1650"/>
      <c r="J169" s="1650"/>
      <c r="K169" s="1650"/>
      <c r="L169" s="1650"/>
      <c r="M169" s="1650"/>
      <c r="N169" s="6"/>
      <c r="O169" s="6"/>
      <c r="P169" s="6"/>
      <c r="Q169" s="6"/>
      <c r="R169" s="6"/>
      <c r="S169" s="6"/>
      <c r="T169" s="6"/>
      <c r="U169" s="6"/>
    </row>
    <row r="170" spans="1:21" ht="57" x14ac:dyDescent="0.25">
      <c r="A170" s="859" t="s">
        <v>107</v>
      </c>
      <c r="B170" s="852" t="s">
        <v>760</v>
      </c>
      <c r="C170" s="901"/>
      <c r="D170" s="901"/>
      <c r="E170" s="901"/>
      <c r="F170" s="542"/>
      <c r="G170" s="542"/>
      <c r="H170" s="902"/>
      <c r="I170" s="1650"/>
      <c r="J170" s="1650"/>
      <c r="K170" s="1650"/>
      <c r="L170" s="1650"/>
      <c r="M170" s="1650"/>
      <c r="N170" s="6"/>
      <c r="O170" s="6"/>
      <c r="P170" s="6"/>
      <c r="Q170" s="6"/>
      <c r="R170" s="6"/>
      <c r="S170" s="6"/>
      <c r="T170" s="6"/>
      <c r="U170" s="6"/>
    </row>
    <row r="171" spans="1:21" ht="39.75" customHeight="1" x14ac:dyDescent="0.25">
      <c r="A171" s="1669" t="s">
        <v>761</v>
      </c>
      <c r="B171" s="1670"/>
      <c r="C171" s="653"/>
      <c r="D171" s="883"/>
      <c r="E171" s="883"/>
      <c r="F171" s="883"/>
      <c r="G171" s="883"/>
      <c r="H171" s="654"/>
      <c r="I171" s="1650"/>
      <c r="J171" s="1650"/>
      <c r="K171" s="1650"/>
      <c r="L171" s="1650"/>
      <c r="M171" s="1650"/>
      <c r="N171" s="6"/>
      <c r="O171" s="6"/>
      <c r="P171" s="6"/>
      <c r="Q171" s="6"/>
      <c r="R171" s="6"/>
      <c r="S171" s="6"/>
      <c r="T171" s="6"/>
      <c r="U171" s="6"/>
    </row>
    <row r="172" spans="1:21" ht="28.5" customHeight="1" x14ac:dyDescent="0.25">
      <c r="A172" s="1632" t="s">
        <v>762</v>
      </c>
      <c r="B172" s="1633"/>
      <c r="C172" s="901"/>
      <c r="D172" s="901"/>
      <c r="E172" s="901"/>
      <c r="F172" s="542"/>
      <c r="G172" s="542"/>
      <c r="H172" s="902"/>
      <c r="I172" s="1650"/>
      <c r="J172" s="1650"/>
      <c r="K172" s="1650"/>
      <c r="L172" s="1650"/>
      <c r="M172" s="1650"/>
      <c r="N172" s="6"/>
      <c r="O172" s="6"/>
      <c r="P172" s="6"/>
      <c r="Q172" s="6"/>
      <c r="R172" s="6"/>
      <c r="S172" s="6"/>
      <c r="T172" s="6"/>
      <c r="U172" s="6"/>
    </row>
    <row r="173" spans="1:21" x14ac:dyDescent="0.25">
      <c r="A173" s="1632" t="s">
        <v>763</v>
      </c>
      <c r="B173" s="1633"/>
      <c r="C173" s="901"/>
      <c r="D173" s="901"/>
      <c r="E173" s="901"/>
      <c r="F173" s="542"/>
      <c r="G173" s="542"/>
      <c r="H173" s="902"/>
      <c r="I173" s="1650"/>
      <c r="J173" s="1650"/>
      <c r="K173" s="1650"/>
      <c r="L173" s="1650"/>
      <c r="M173" s="1650"/>
      <c r="N173" s="6"/>
      <c r="O173" s="6"/>
      <c r="P173" s="6"/>
      <c r="Q173" s="6"/>
      <c r="R173" s="6"/>
      <c r="S173" s="6"/>
      <c r="T173" s="6"/>
      <c r="U173" s="6"/>
    </row>
    <row r="174" spans="1:21" x14ac:dyDescent="0.25">
      <c r="A174" s="1632" t="s">
        <v>764</v>
      </c>
      <c r="B174" s="1633"/>
      <c r="C174" s="901"/>
      <c r="D174" s="901"/>
      <c r="E174" s="901"/>
      <c r="F174" s="542"/>
      <c r="G174" s="542"/>
      <c r="H174" s="902"/>
      <c r="I174" s="1650"/>
      <c r="J174" s="1650"/>
      <c r="K174" s="1650"/>
      <c r="L174" s="1650"/>
      <c r="M174" s="1650"/>
      <c r="N174" s="6"/>
      <c r="O174" s="6"/>
      <c r="P174" s="6"/>
      <c r="Q174" s="6"/>
      <c r="R174" s="6"/>
      <c r="S174" s="6"/>
      <c r="T174" s="6"/>
      <c r="U174" s="6"/>
    </row>
    <row r="175" spans="1:21" x14ac:dyDescent="0.25">
      <c r="A175" s="1678" t="s">
        <v>123</v>
      </c>
      <c r="B175" s="1679"/>
      <c r="C175" s="868"/>
      <c r="D175" s="924"/>
      <c r="E175" s="924"/>
      <c r="F175" s="924"/>
      <c r="G175" s="924"/>
      <c r="H175" s="660"/>
      <c r="I175" s="1650"/>
      <c r="J175" s="1650"/>
      <c r="K175" s="1650"/>
      <c r="L175" s="1650"/>
      <c r="M175" s="1650"/>
      <c r="N175" s="6"/>
      <c r="O175" s="6"/>
      <c r="P175" s="6"/>
      <c r="Q175" s="6"/>
      <c r="R175" s="6"/>
      <c r="S175" s="6"/>
      <c r="T175" s="6"/>
      <c r="U175" s="6"/>
    </row>
    <row r="176" spans="1:21" x14ac:dyDescent="0.25">
      <c r="A176" s="1330" t="s">
        <v>124</v>
      </c>
      <c r="B176" s="927"/>
      <c r="C176" s="901"/>
      <c r="D176" s="874">
        <f>$D$4*C176*5000</f>
        <v>0</v>
      </c>
      <c r="E176" s="864"/>
      <c r="F176" s="542"/>
      <c r="G176" s="542"/>
      <c r="H176" s="902"/>
      <c r="I176" s="1650"/>
      <c r="J176" s="1650"/>
      <c r="K176" s="1650"/>
      <c r="L176" s="1650"/>
      <c r="M176" s="1650"/>
      <c r="N176" s="6"/>
      <c r="O176" s="6"/>
      <c r="P176" s="6"/>
      <c r="Q176" s="6"/>
      <c r="R176" s="6"/>
      <c r="S176" s="6"/>
      <c r="T176" s="6"/>
      <c r="U176" s="6"/>
    </row>
    <row r="177" spans="1:21" ht="29.25" customHeight="1" x14ac:dyDescent="0.25">
      <c r="A177" s="1330" t="s">
        <v>125</v>
      </c>
      <c r="B177" s="927"/>
      <c r="C177" s="901"/>
      <c r="D177" s="874">
        <f>$D$4*C177*10000</f>
        <v>0</v>
      </c>
      <c r="E177" s="864"/>
      <c r="F177" s="542"/>
      <c r="G177" s="542"/>
      <c r="H177" s="902"/>
      <c r="I177" s="1650"/>
      <c r="J177" s="1650"/>
      <c r="K177" s="1650"/>
      <c r="L177" s="1650"/>
      <c r="M177" s="1650"/>
      <c r="N177" s="6"/>
      <c r="O177" s="6"/>
      <c r="P177" s="6"/>
      <c r="Q177" s="6"/>
      <c r="R177" s="6"/>
      <c r="S177" s="6"/>
      <c r="T177" s="6"/>
      <c r="U177" s="6"/>
    </row>
    <row r="178" spans="1:21" x14ac:dyDescent="0.25">
      <c r="A178" s="1709" t="s">
        <v>126</v>
      </c>
      <c r="B178" s="1684"/>
      <c r="C178" s="901"/>
      <c r="D178" s="887"/>
      <c r="E178" s="887"/>
      <c r="F178" s="542"/>
      <c r="G178" s="542"/>
      <c r="H178" s="902"/>
      <c r="I178" s="1650"/>
      <c r="J178" s="1650"/>
      <c r="K178" s="1650"/>
      <c r="L178" s="1650"/>
      <c r="M178" s="1650"/>
      <c r="N178" s="6"/>
      <c r="O178" s="6"/>
      <c r="P178" s="6"/>
      <c r="Q178" s="6"/>
      <c r="R178" s="6"/>
      <c r="S178" s="6"/>
      <c r="T178" s="6"/>
      <c r="U178" s="6"/>
    </row>
    <row r="179" spans="1:21" x14ac:dyDescent="0.25">
      <c r="A179" s="1709" t="s">
        <v>126</v>
      </c>
      <c r="B179" s="1684"/>
      <c r="C179" s="901"/>
      <c r="D179" s="887"/>
      <c r="E179" s="887"/>
      <c r="F179" s="542"/>
      <c r="G179" s="542"/>
      <c r="H179" s="902"/>
      <c r="I179" s="1650"/>
      <c r="J179" s="1650"/>
      <c r="K179" s="1650"/>
      <c r="L179" s="1650"/>
      <c r="M179" s="1650"/>
      <c r="N179" s="6"/>
      <c r="O179" s="6"/>
      <c r="P179" s="6"/>
      <c r="Q179" s="6"/>
      <c r="R179" s="6"/>
      <c r="S179" s="6"/>
      <c r="T179" s="6"/>
      <c r="U179" s="6"/>
    </row>
    <row r="180" spans="1:21" ht="30" x14ac:dyDescent="0.25">
      <c r="A180" s="889" t="s">
        <v>127</v>
      </c>
      <c r="B180" s="890" t="s">
        <v>128</v>
      </c>
      <c r="C180" s="868"/>
      <c r="D180" s="924"/>
      <c r="E180" s="924"/>
      <c r="F180" s="924"/>
      <c r="G180" s="924"/>
      <c r="H180" s="660"/>
      <c r="I180" s="1650"/>
      <c r="J180" s="1650"/>
      <c r="K180" s="1650"/>
      <c r="L180" s="1650"/>
      <c r="M180" s="1650"/>
      <c r="N180" s="6"/>
      <c r="O180" s="6"/>
      <c r="P180" s="6"/>
      <c r="Q180" s="6"/>
      <c r="R180" s="6"/>
      <c r="S180" s="6"/>
      <c r="T180" s="6"/>
      <c r="U180" s="6"/>
    </row>
    <row r="181" spans="1:21" x14ac:dyDescent="0.25">
      <c r="A181" s="865" t="s">
        <v>129</v>
      </c>
      <c r="B181" s="901"/>
      <c r="C181" s="901"/>
      <c r="D181" s="1492">
        <f>$D$4*60000*(I157+J157)</f>
        <v>0</v>
      </c>
      <c r="E181" s="1684"/>
      <c r="F181" s="542"/>
      <c r="G181" s="542"/>
      <c r="H181" s="655"/>
      <c r="I181" s="1650"/>
      <c r="J181" s="1650"/>
      <c r="K181" s="1650"/>
      <c r="L181" s="1650"/>
      <c r="M181" s="1650"/>
      <c r="N181" s="6"/>
      <c r="O181" s="6"/>
      <c r="P181" s="6"/>
      <c r="Q181" s="6"/>
      <c r="R181" s="6"/>
      <c r="S181" s="6"/>
      <c r="T181" s="6"/>
      <c r="U181" s="6"/>
    </row>
    <row r="182" spans="1:21" x14ac:dyDescent="0.25">
      <c r="A182" s="865" t="s">
        <v>865</v>
      </c>
      <c r="B182" s="901"/>
      <c r="C182" s="901"/>
      <c r="D182" s="1494"/>
      <c r="E182" s="1684"/>
      <c r="F182" s="542"/>
      <c r="G182" s="542"/>
      <c r="H182" s="655"/>
      <c r="I182" s="1650"/>
      <c r="J182" s="1650"/>
      <c r="K182" s="1650"/>
      <c r="L182" s="1650"/>
      <c r="M182" s="1650"/>
      <c r="N182" s="6"/>
      <c r="O182" s="6"/>
      <c r="P182" s="6"/>
      <c r="Q182" s="6"/>
      <c r="R182" s="6"/>
      <c r="S182" s="6"/>
      <c r="T182" s="6"/>
      <c r="U182" s="6"/>
    </row>
    <row r="183" spans="1:21" x14ac:dyDescent="0.25">
      <c r="A183" s="865" t="s">
        <v>131</v>
      </c>
      <c r="B183" s="901"/>
      <c r="C183" s="901"/>
      <c r="D183" s="1494"/>
      <c r="E183" s="1684"/>
      <c r="F183" s="542"/>
      <c r="G183" s="542"/>
      <c r="H183" s="655"/>
      <c r="I183" s="1650"/>
      <c r="J183" s="1650"/>
      <c r="K183" s="1650"/>
      <c r="L183" s="1650"/>
      <c r="M183" s="1650"/>
      <c r="N183" s="6"/>
      <c r="O183" s="6"/>
      <c r="P183" s="6"/>
      <c r="Q183" s="6"/>
      <c r="R183" s="6"/>
      <c r="S183" s="6"/>
      <c r="T183" s="6"/>
      <c r="U183" s="6"/>
    </row>
    <row r="184" spans="1:21" x14ac:dyDescent="0.25">
      <c r="A184" s="865" t="s">
        <v>132</v>
      </c>
      <c r="B184" s="901"/>
      <c r="C184" s="901"/>
      <c r="D184" s="1496"/>
      <c r="E184" s="1684"/>
      <c r="F184" s="542"/>
      <c r="G184" s="542"/>
      <c r="H184" s="655"/>
      <c r="I184" s="1650"/>
      <c r="J184" s="1650"/>
      <c r="K184" s="1650"/>
      <c r="L184" s="1650"/>
      <c r="M184" s="1650"/>
      <c r="N184" s="6"/>
      <c r="O184" s="6"/>
      <c r="P184" s="6"/>
      <c r="Q184" s="6"/>
      <c r="R184" s="6"/>
      <c r="S184" s="6"/>
      <c r="T184" s="6"/>
      <c r="U184" s="6"/>
    </row>
    <row r="185" spans="1:21" x14ac:dyDescent="0.25">
      <c r="A185" s="1678" t="s">
        <v>133</v>
      </c>
      <c r="B185" s="1679"/>
      <c r="C185" s="868"/>
      <c r="D185" s="924"/>
      <c r="E185" s="924"/>
      <c r="F185" s="1337"/>
      <c r="G185" s="1337"/>
      <c r="H185" s="660"/>
      <c r="I185" s="1650"/>
      <c r="J185" s="1650"/>
      <c r="K185" s="1650"/>
      <c r="L185" s="1650"/>
      <c r="M185" s="1650"/>
      <c r="N185" s="6"/>
      <c r="O185" s="6"/>
      <c r="P185" s="6"/>
      <c r="Q185" s="6"/>
      <c r="R185" s="6"/>
      <c r="S185" s="6"/>
      <c r="T185" s="6"/>
      <c r="U185" s="6"/>
    </row>
    <row r="186" spans="1:21" ht="15" customHeight="1" x14ac:dyDescent="0.25">
      <c r="A186" s="1330" t="s">
        <v>134</v>
      </c>
      <c r="B186" s="927"/>
      <c r="C186" s="901"/>
      <c r="D186" s="652">
        <f>$D$4*C186*30000</f>
        <v>0</v>
      </c>
      <c r="E186" s="656"/>
      <c r="F186" s="542"/>
      <c r="G186" s="542"/>
      <c r="H186" s="902"/>
      <c r="I186" s="1650"/>
      <c r="J186" s="1650"/>
      <c r="K186" s="1650"/>
      <c r="L186" s="1650"/>
      <c r="M186" s="1650"/>
      <c r="N186" s="6"/>
      <c r="O186" s="6"/>
      <c r="P186" s="6"/>
      <c r="Q186" s="6"/>
      <c r="R186" s="6"/>
      <c r="S186" s="6"/>
      <c r="T186" s="6"/>
      <c r="U186" s="6"/>
    </row>
    <row r="187" spans="1:21" x14ac:dyDescent="0.25">
      <c r="A187" s="1330" t="s">
        <v>135</v>
      </c>
      <c r="B187" s="927"/>
      <c r="C187" s="901"/>
      <c r="D187" s="657"/>
      <c r="E187" s="656"/>
      <c r="F187" s="542"/>
      <c r="G187" s="542"/>
      <c r="H187" s="902"/>
      <c r="I187" s="1650"/>
      <c r="J187" s="1650"/>
      <c r="K187" s="1650"/>
      <c r="L187" s="1650"/>
      <c r="M187" s="1650"/>
      <c r="N187" s="6"/>
      <c r="O187" s="6"/>
      <c r="P187" s="6"/>
      <c r="Q187" s="6"/>
      <c r="R187" s="6"/>
      <c r="S187" s="6"/>
      <c r="T187" s="6"/>
      <c r="U187" s="6"/>
    </row>
    <row r="188" spans="1:21" x14ac:dyDescent="0.25">
      <c r="A188" s="1678" t="s">
        <v>136</v>
      </c>
      <c r="B188" s="1679"/>
      <c r="C188" s="869"/>
      <c r="D188" s="1337"/>
      <c r="E188" s="1337"/>
      <c r="F188" s="1337"/>
      <c r="G188" s="1337"/>
      <c r="H188" s="660"/>
      <c r="I188" s="1650"/>
      <c r="J188" s="1650"/>
      <c r="K188" s="1650"/>
      <c r="L188" s="1650"/>
      <c r="M188" s="1650"/>
      <c r="N188" s="6"/>
      <c r="O188" s="6"/>
      <c r="P188" s="6"/>
      <c r="Q188" s="6"/>
      <c r="R188" s="6"/>
      <c r="S188" s="6"/>
      <c r="T188" s="6"/>
      <c r="U188" s="6"/>
    </row>
    <row r="189" spans="1:21" ht="30" customHeight="1" x14ac:dyDescent="0.25">
      <c r="A189" s="1330" t="s">
        <v>137</v>
      </c>
      <c r="B189" s="927"/>
      <c r="C189" s="870"/>
      <c r="D189" s="657"/>
      <c r="E189" s="656"/>
      <c r="F189" s="542"/>
      <c r="G189" s="542"/>
      <c r="H189" s="902"/>
      <c r="I189" s="1650"/>
      <c r="J189" s="1650"/>
      <c r="K189" s="1650"/>
      <c r="L189" s="1650"/>
      <c r="M189" s="1650"/>
      <c r="N189" s="6"/>
      <c r="O189" s="6"/>
      <c r="P189" s="6"/>
      <c r="Q189" s="6"/>
      <c r="R189" s="6"/>
      <c r="S189" s="6"/>
      <c r="T189" s="6"/>
      <c r="U189" s="6"/>
    </row>
    <row r="190" spans="1:21" x14ac:dyDescent="0.25">
      <c r="A190" s="1678" t="s">
        <v>138</v>
      </c>
      <c r="B190" s="1679"/>
      <c r="C190" s="869"/>
      <c r="D190" s="1337"/>
      <c r="E190" s="1337"/>
      <c r="F190" s="1337"/>
      <c r="G190" s="1337"/>
      <c r="H190" s="660"/>
      <c r="I190" s="1650"/>
      <c r="J190" s="1650"/>
      <c r="K190" s="1650"/>
      <c r="L190" s="1650"/>
      <c r="M190" s="1650"/>
      <c r="N190" s="6"/>
      <c r="O190" s="6"/>
      <c r="P190" s="6"/>
      <c r="Q190" s="6"/>
      <c r="R190" s="6"/>
      <c r="S190" s="6"/>
      <c r="T190" s="6"/>
      <c r="U190" s="6"/>
    </row>
    <row r="191" spans="1:21" x14ac:dyDescent="0.25">
      <c r="A191" s="1330" t="s">
        <v>139</v>
      </c>
      <c r="B191" s="927"/>
      <c r="C191" s="901"/>
      <c r="D191" s="901"/>
      <c r="E191" s="656"/>
      <c r="F191" s="542"/>
      <c r="G191" s="542"/>
      <c r="H191" s="902"/>
      <c r="I191" s="1650"/>
      <c r="J191" s="1650"/>
      <c r="K191" s="1650"/>
      <c r="L191" s="1650"/>
      <c r="M191" s="1650"/>
      <c r="N191" s="6"/>
      <c r="O191" s="6"/>
      <c r="P191" s="6"/>
      <c r="Q191" s="6"/>
      <c r="R191" s="6"/>
      <c r="S191" s="6"/>
      <c r="T191" s="6"/>
      <c r="U191" s="6"/>
    </row>
    <row r="192" spans="1:21" x14ac:dyDescent="0.25">
      <c r="A192" s="1678" t="s">
        <v>140</v>
      </c>
      <c r="B192" s="1679"/>
      <c r="C192" s="869"/>
      <c r="D192" s="1337"/>
      <c r="E192" s="1337"/>
      <c r="F192" s="1337"/>
      <c r="G192" s="1337"/>
      <c r="H192" s="660"/>
      <c r="I192" s="1650"/>
      <c r="J192" s="1650"/>
      <c r="K192" s="1650"/>
      <c r="L192" s="1650"/>
      <c r="M192" s="1650"/>
      <c r="N192" s="6"/>
      <c r="O192" s="6"/>
      <c r="P192" s="6"/>
      <c r="Q192" s="6"/>
      <c r="R192" s="6"/>
      <c r="S192" s="6"/>
      <c r="T192" s="6"/>
      <c r="U192" s="6"/>
    </row>
    <row r="193" spans="1:21" s="9" customFormat="1" x14ac:dyDescent="0.25">
      <c r="A193" s="1330" t="s">
        <v>141</v>
      </c>
      <c r="B193" s="927"/>
      <c r="C193" s="901"/>
      <c r="D193" s="652">
        <f>$D$4*C193*10000</f>
        <v>0</v>
      </c>
      <c r="E193" s="656"/>
      <c r="F193" s="542"/>
      <c r="G193" s="542"/>
      <c r="H193" s="902"/>
      <c r="I193" s="1650"/>
      <c r="J193" s="1650"/>
      <c r="K193" s="1650"/>
      <c r="L193" s="1650"/>
      <c r="M193" s="1650"/>
    </row>
    <row r="194" spans="1:21" s="9" customFormat="1" ht="30" customHeight="1" thickBot="1" x14ac:dyDescent="0.3">
      <c r="A194" s="1676" t="s">
        <v>142</v>
      </c>
      <c r="B194" s="1677"/>
      <c r="C194" s="661"/>
      <c r="D194" s="724">
        <f>$D$4*C194*(500*12)</f>
        <v>0</v>
      </c>
      <c r="E194" s="725"/>
      <c r="F194" s="662"/>
      <c r="G194" s="662"/>
      <c r="H194" s="726"/>
      <c r="I194" s="1650"/>
      <c r="J194" s="1650"/>
      <c r="K194" s="1650"/>
      <c r="L194" s="1650"/>
      <c r="M194" s="1650"/>
    </row>
    <row r="195" spans="1:21" ht="15.75" thickBot="1" x14ac:dyDescent="0.3">
      <c r="A195" s="1691" t="s">
        <v>143</v>
      </c>
      <c r="B195" s="1692"/>
      <c r="C195" s="1692"/>
      <c r="D195" s="663">
        <f>SUM(D168,D169,D170,D172,D173,D174,D176,D177,D178,D179,D181,D186,D187,D189,D191,D193,D194)</f>
        <v>0</v>
      </c>
      <c r="E195" s="658">
        <f>SUM(E168,E169,E170,E172,E173,E174,E176,E177,E178,E179,E181,E186,E187,E189,E191,E193,E194)</f>
        <v>0</v>
      </c>
      <c r="F195" s="658">
        <f>SUM(F168,F169,F170,F172,F173,F174,F176,F177,F178,F179,F181,F186,F187,F189,F191,F193,F194)</f>
        <v>0</v>
      </c>
      <c r="G195" s="658">
        <f>SUM(G168,G169,G170,G172,G173,G174,G176,G177,G178,G179,G181,G186,G187,G189,G191,G193,G194)</f>
        <v>0</v>
      </c>
      <c r="H195" s="659">
        <f>SUM(H168,H169,H170,H172,H173,H174,H176,H177,H178,H179,H181,H186,H187,H189,H191,H193,H194)</f>
        <v>0</v>
      </c>
      <c r="I195" s="1653"/>
      <c r="J195" s="1653"/>
      <c r="K195" s="1653"/>
      <c r="L195" s="1653"/>
      <c r="M195" s="1653"/>
      <c r="N195" s="6"/>
      <c r="O195" s="6"/>
      <c r="P195" s="6"/>
      <c r="Q195" s="6"/>
      <c r="R195" s="6"/>
      <c r="S195" s="6"/>
      <c r="T195" s="6"/>
      <c r="U195" s="6"/>
    </row>
    <row r="196" spans="1:21" ht="15.75" thickBot="1" x14ac:dyDescent="0.3">
      <c r="A196" s="501"/>
      <c r="B196" s="71"/>
      <c r="C196" s="6"/>
      <c r="D196" s="6"/>
      <c r="E196" s="6"/>
      <c r="F196" s="6"/>
      <c r="G196" s="6"/>
      <c r="H196" s="6"/>
      <c r="I196" s="6"/>
      <c r="J196" s="6"/>
      <c r="K196" s="6"/>
      <c r="L196" s="6"/>
      <c r="M196" s="6"/>
      <c r="N196" s="6"/>
      <c r="O196" s="6"/>
      <c r="P196" s="6"/>
      <c r="Q196" s="6"/>
      <c r="R196" s="6"/>
      <c r="S196" s="6"/>
      <c r="T196" s="6"/>
      <c r="U196" s="6"/>
    </row>
    <row r="197" spans="1:21" s="129" customFormat="1" ht="20.25" customHeight="1" x14ac:dyDescent="0.3">
      <c r="A197" s="576" t="s">
        <v>765</v>
      </c>
      <c r="B197" s="577"/>
      <c r="C197" s="577"/>
      <c r="D197" s="577"/>
      <c r="E197" s="577"/>
      <c r="F197" s="577"/>
      <c r="G197" s="577"/>
      <c r="H197" s="664"/>
      <c r="I197" s="1646" t="s">
        <v>39</v>
      </c>
      <c r="J197" s="1647"/>
      <c r="K197" s="1647"/>
      <c r="L197" s="1647"/>
      <c r="M197" s="1648"/>
    </row>
    <row r="198" spans="1:21" s="9" customFormat="1" ht="12.75" customHeight="1" x14ac:dyDescent="0.25">
      <c r="A198" s="543"/>
      <c r="B198" s="130"/>
      <c r="C198" s="130"/>
      <c r="D198" s="130"/>
      <c r="E198" s="130"/>
      <c r="F198" s="130"/>
      <c r="G198" s="130"/>
      <c r="H198" s="665"/>
      <c r="I198" s="1685"/>
      <c r="J198" s="1686"/>
      <c r="K198" s="1686"/>
      <c r="L198" s="1686"/>
      <c r="M198" s="1687"/>
    </row>
    <row r="199" spans="1:21" s="9" customFormat="1" ht="38.25" customHeight="1" x14ac:dyDescent="0.25">
      <c r="A199" s="544" t="s">
        <v>42</v>
      </c>
      <c r="B199" s="131" t="s">
        <v>144</v>
      </c>
      <c r="C199" s="1344" t="s">
        <v>100</v>
      </c>
      <c r="D199" s="1344"/>
      <c r="E199" s="1344" t="s">
        <v>800</v>
      </c>
      <c r="F199" s="1344"/>
      <c r="G199" s="1673" t="s">
        <v>792</v>
      </c>
      <c r="H199" s="1837"/>
      <c r="I199" s="1685"/>
      <c r="J199" s="1686"/>
      <c r="K199" s="1686"/>
      <c r="L199" s="1686"/>
      <c r="M199" s="1687"/>
    </row>
    <row r="200" spans="1:21" x14ac:dyDescent="0.25">
      <c r="A200" s="132" t="s">
        <v>145</v>
      </c>
      <c r="B200" s="1664">
        <f>$D$4*80000*(H9/10)+$D$4*50000</f>
        <v>0</v>
      </c>
      <c r="C200" s="1655"/>
      <c r="D200" s="1655"/>
      <c r="E200" s="1655"/>
      <c r="F200" s="1655"/>
      <c r="G200" s="1811"/>
      <c r="H200" s="1812"/>
      <c r="I200" s="1685"/>
      <c r="J200" s="1686"/>
      <c r="K200" s="1686"/>
      <c r="L200" s="1686"/>
      <c r="M200" s="1687"/>
      <c r="N200" s="6"/>
      <c r="O200" s="6"/>
      <c r="P200" s="6"/>
      <c r="Q200" s="6"/>
      <c r="R200" s="6"/>
      <c r="S200" s="6"/>
      <c r="T200" s="6"/>
      <c r="U200" s="6"/>
    </row>
    <row r="201" spans="1:21" x14ac:dyDescent="0.25">
      <c r="A201" s="132" t="s">
        <v>146</v>
      </c>
      <c r="B201" s="1665"/>
      <c r="C201" s="1655"/>
      <c r="D201" s="1655"/>
      <c r="E201" s="1655"/>
      <c r="F201" s="1655"/>
      <c r="G201" s="1811"/>
      <c r="H201" s="1812"/>
      <c r="I201" s="1685"/>
      <c r="J201" s="1686"/>
      <c r="K201" s="1686"/>
      <c r="L201" s="1686"/>
      <c r="M201" s="1687"/>
      <c r="N201" s="6"/>
      <c r="O201" s="6"/>
      <c r="P201" s="6"/>
      <c r="Q201" s="6"/>
      <c r="R201" s="6"/>
      <c r="S201" s="6"/>
      <c r="T201" s="6"/>
      <c r="U201" s="6"/>
    </row>
    <row r="202" spans="1:21" x14ac:dyDescent="0.25">
      <c r="A202" s="132" t="s">
        <v>147</v>
      </c>
      <c r="B202" s="1665"/>
      <c r="C202" s="1655"/>
      <c r="D202" s="1655"/>
      <c r="E202" s="1655"/>
      <c r="F202" s="1655"/>
      <c r="G202" s="1811"/>
      <c r="H202" s="1812"/>
      <c r="I202" s="1685"/>
      <c r="J202" s="1686"/>
      <c r="K202" s="1686"/>
      <c r="L202" s="1686"/>
      <c r="M202" s="1687"/>
      <c r="N202" s="6"/>
      <c r="O202" s="6"/>
      <c r="P202" s="6"/>
      <c r="Q202" s="6"/>
      <c r="R202" s="6"/>
      <c r="S202" s="6"/>
      <c r="T202" s="6"/>
      <c r="U202" s="6"/>
    </row>
    <row r="203" spans="1:21" x14ac:dyDescent="0.25">
      <c r="A203" s="132" t="s">
        <v>148</v>
      </c>
      <c r="B203" s="1665"/>
      <c r="C203" s="1655"/>
      <c r="D203" s="1655"/>
      <c r="E203" s="1655"/>
      <c r="F203" s="1655"/>
      <c r="G203" s="1811"/>
      <c r="H203" s="1812"/>
      <c r="I203" s="1685"/>
      <c r="J203" s="1686"/>
      <c r="K203" s="1686"/>
      <c r="L203" s="1686"/>
      <c r="M203" s="1687"/>
      <c r="N203" s="6"/>
      <c r="O203" s="6"/>
      <c r="P203" s="6"/>
      <c r="Q203" s="6"/>
      <c r="R203" s="6"/>
      <c r="S203" s="6"/>
      <c r="T203" s="6"/>
      <c r="U203" s="6"/>
    </row>
    <row r="204" spans="1:21" ht="28.5" x14ac:dyDescent="0.25">
      <c r="A204" s="132" t="s">
        <v>149</v>
      </c>
      <c r="B204" s="1665"/>
      <c r="C204" s="1655"/>
      <c r="D204" s="1655"/>
      <c r="E204" s="1655"/>
      <c r="F204" s="1655"/>
      <c r="G204" s="1811"/>
      <c r="H204" s="1812"/>
      <c r="I204" s="1685"/>
      <c r="J204" s="1686"/>
      <c r="K204" s="1686"/>
      <c r="L204" s="1686"/>
      <c r="M204" s="1687"/>
      <c r="N204" s="6"/>
      <c r="O204" s="6"/>
      <c r="P204" s="6"/>
      <c r="Q204" s="6"/>
      <c r="R204" s="6"/>
      <c r="S204" s="6"/>
      <c r="T204" s="6"/>
      <c r="U204" s="6"/>
    </row>
    <row r="205" spans="1:21" x14ac:dyDescent="0.25">
      <c r="A205" s="545" t="s">
        <v>150</v>
      </c>
      <c r="B205" s="1666"/>
      <c r="C205" s="1655"/>
      <c r="D205" s="1655"/>
      <c r="E205" s="1655"/>
      <c r="F205" s="1655"/>
      <c r="G205" s="1811"/>
      <c r="H205" s="1812"/>
      <c r="I205" s="1685"/>
      <c r="J205" s="1686"/>
      <c r="K205" s="1686"/>
      <c r="L205" s="1686"/>
      <c r="M205" s="1687"/>
      <c r="N205" s="6"/>
      <c r="O205" s="6"/>
      <c r="P205" s="6"/>
      <c r="Q205" s="6"/>
      <c r="R205" s="6"/>
      <c r="S205" s="6"/>
      <c r="T205" s="6"/>
      <c r="U205" s="6"/>
    </row>
    <row r="206" spans="1:21" x14ac:dyDescent="0.25">
      <c r="A206" s="132" t="s">
        <v>151</v>
      </c>
      <c r="B206" s="17">
        <f>$D$4*H27*24000</f>
        <v>0</v>
      </c>
      <c r="C206" s="1655"/>
      <c r="D206" s="1655"/>
      <c r="E206" s="1655"/>
      <c r="F206" s="1655"/>
      <c r="G206" s="1811"/>
      <c r="H206" s="1812"/>
      <c r="I206" s="1685"/>
      <c r="J206" s="1686"/>
      <c r="K206" s="1686"/>
      <c r="L206" s="1686"/>
      <c r="M206" s="1687"/>
      <c r="N206" s="6"/>
      <c r="O206" s="6"/>
      <c r="P206" s="6"/>
      <c r="Q206" s="6"/>
      <c r="R206" s="6"/>
      <c r="S206" s="6"/>
      <c r="T206" s="6"/>
      <c r="U206" s="6"/>
    </row>
    <row r="207" spans="1:21" ht="15.75" thickBot="1" x14ac:dyDescent="0.3">
      <c r="A207" s="133" t="s">
        <v>766</v>
      </c>
      <c r="B207" s="898">
        <f>$D$4*H26*24000</f>
        <v>0</v>
      </c>
      <c r="C207" s="1656"/>
      <c r="D207" s="1656"/>
      <c r="E207" s="1656"/>
      <c r="F207" s="1656"/>
      <c r="G207" s="1813"/>
      <c r="H207" s="1814"/>
      <c r="I207" s="1685"/>
      <c r="J207" s="1686"/>
      <c r="K207" s="1686"/>
      <c r="L207" s="1686"/>
      <c r="M207" s="1687"/>
      <c r="N207" s="6"/>
      <c r="O207" s="6"/>
      <c r="P207" s="6"/>
      <c r="Q207" s="6"/>
      <c r="R207" s="6"/>
      <c r="S207" s="6"/>
      <c r="T207" s="6"/>
      <c r="U207" s="6"/>
    </row>
    <row r="208" spans="1:21" ht="15.75" thickBot="1" x14ac:dyDescent="0.3">
      <c r="A208" s="546" t="s">
        <v>2</v>
      </c>
      <c r="B208" s="547">
        <f>SUM(B200:B207)</f>
        <v>0</v>
      </c>
      <c r="C208" s="1371">
        <f>SUM(C200:D207)</f>
        <v>0</v>
      </c>
      <c r="D208" s="1372"/>
      <c r="E208" s="1371">
        <f>SUM(E200:F207)</f>
        <v>0</v>
      </c>
      <c r="F208" s="1372"/>
      <c r="G208" s="1371">
        <f>SUM(G200:I207)</f>
        <v>0</v>
      </c>
      <c r="H208" s="1815"/>
      <c r="I208" s="1688"/>
      <c r="J208" s="1689"/>
      <c r="K208" s="1689"/>
      <c r="L208" s="1689"/>
      <c r="M208" s="1690"/>
      <c r="N208" s="6"/>
      <c r="O208" s="6"/>
      <c r="P208" s="6"/>
      <c r="Q208" s="6"/>
      <c r="R208" s="6"/>
      <c r="S208" s="6"/>
      <c r="T208" s="6"/>
      <c r="U208" s="6"/>
    </row>
    <row r="209" spans="1:21" s="9" customFormat="1" ht="15.75" thickBot="1" x14ac:dyDescent="0.3">
      <c r="A209" s="548"/>
      <c r="B209" s="107"/>
      <c r="C209" s="79"/>
      <c r="D209" s="135"/>
      <c r="E209" s="135"/>
      <c r="F209" s="135"/>
      <c r="G209" s="135"/>
      <c r="H209" s="135"/>
      <c r="I209" s="135"/>
      <c r="J209" s="136"/>
      <c r="K209" s="137"/>
      <c r="L209" s="136"/>
      <c r="M209" s="138"/>
    </row>
    <row r="210" spans="1:21" s="139" customFormat="1" ht="15.75" customHeight="1" x14ac:dyDescent="0.25">
      <c r="A210" s="1384" t="s">
        <v>767</v>
      </c>
      <c r="B210" s="1385"/>
      <c r="C210" s="1385"/>
      <c r="D210" s="1385"/>
      <c r="E210" s="1385"/>
      <c r="F210" s="1385"/>
      <c r="G210" s="1385"/>
      <c r="H210" s="1385"/>
      <c r="I210" s="1646" t="s">
        <v>39</v>
      </c>
      <c r="J210" s="1647"/>
      <c r="K210" s="1647"/>
      <c r="L210" s="1647"/>
      <c r="M210" s="1648"/>
      <c r="N210" s="140"/>
    </row>
    <row r="211" spans="1:21" s="9" customFormat="1" ht="15.75" customHeight="1" x14ac:dyDescent="0.25">
      <c r="A211" s="543"/>
      <c r="B211" s="141"/>
      <c r="C211" s="141"/>
      <c r="D211" s="141"/>
      <c r="E211" s="141"/>
      <c r="F211" s="141"/>
      <c r="H211" s="141"/>
      <c r="I211" s="1657"/>
      <c r="J211" s="1658"/>
      <c r="K211" s="1658"/>
      <c r="L211" s="1658"/>
      <c r="M211" s="1659"/>
      <c r="N211" s="101"/>
    </row>
    <row r="212" spans="1:21" s="9" customFormat="1" ht="70.5" customHeight="1" x14ac:dyDescent="0.25">
      <c r="A212" s="1344" t="s">
        <v>100</v>
      </c>
      <c r="B212" s="1344"/>
      <c r="C212" s="871" t="s">
        <v>824</v>
      </c>
      <c r="D212" s="871" t="s">
        <v>800</v>
      </c>
      <c r="E212" s="871" t="s">
        <v>825</v>
      </c>
      <c r="F212" s="871" t="s">
        <v>826</v>
      </c>
      <c r="G212" s="1344" t="s">
        <v>797</v>
      </c>
      <c r="H212" s="1673"/>
      <c r="I212" s="1657"/>
      <c r="J212" s="1658"/>
      <c r="K212" s="1658"/>
      <c r="L212" s="1658"/>
      <c r="M212" s="1659"/>
      <c r="N212" s="101"/>
    </row>
    <row r="213" spans="1:21" s="9" customFormat="1" ht="28.5" customHeight="1" thickBot="1" x14ac:dyDescent="0.3">
      <c r="A213" s="1671"/>
      <c r="B213" s="1672"/>
      <c r="C213" s="666"/>
      <c r="D213" s="727"/>
      <c r="E213" s="727"/>
      <c r="F213" s="728"/>
      <c r="G213" s="1674"/>
      <c r="H213" s="1675"/>
      <c r="I213" s="1660"/>
      <c r="J213" s="1661"/>
      <c r="K213" s="1661"/>
      <c r="L213" s="1661"/>
      <c r="M213" s="1662"/>
    </row>
    <row r="214" spans="1:21" s="9" customFormat="1" ht="28.5" customHeight="1" thickBot="1" x14ac:dyDescent="0.3">
      <c r="A214" s="100"/>
      <c r="B214" s="100"/>
      <c r="C214" s="100"/>
      <c r="D214" s="100"/>
      <c r="E214" s="100"/>
      <c r="F214" s="100"/>
      <c r="G214" s="142"/>
      <c r="H214" s="142"/>
      <c r="I214" s="143"/>
      <c r="J214" s="144"/>
      <c r="K214" s="34"/>
      <c r="L214" s="34"/>
      <c r="M214" s="34"/>
    </row>
    <row r="215" spans="1:21" s="129" customFormat="1" ht="17.25" customHeight="1" x14ac:dyDescent="0.3">
      <c r="A215" s="1384" t="s">
        <v>259</v>
      </c>
      <c r="B215" s="1385"/>
      <c r="C215" s="1385"/>
      <c r="D215" s="1385"/>
      <c r="E215" s="1385"/>
      <c r="F215" s="1385"/>
      <c r="G215" s="1385"/>
      <c r="H215" s="1708"/>
      <c r="I215" s="1647" t="s">
        <v>39</v>
      </c>
      <c r="J215" s="1647"/>
      <c r="K215" s="1647"/>
      <c r="L215" s="1647"/>
      <c r="M215" s="1647"/>
    </row>
    <row r="216" spans="1:21" ht="12.75" customHeight="1" x14ac:dyDescent="0.25">
      <c r="A216" s="536"/>
      <c r="B216" s="584"/>
      <c r="C216" s="587"/>
      <c r="D216" s="587"/>
      <c r="E216" s="587"/>
      <c r="F216" s="587"/>
      <c r="G216" s="587"/>
      <c r="H216" s="648"/>
      <c r="I216" s="1650"/>
      <c r="J216" s="1650"/>
      <c r="K216" s="1650"/>
      <c r="L216" s="1650"/>
      <c r="M216" s="1650"/>
      <c r="N216" s="6"/>
      <c r="O216" s="6"/>
      <c r="P216" s="6"/>
      <c r="Q216" s="6"/>
      <c r="R216" s="6"/>
      <c r="S216" s="6"/>
      <c r="T216" s="6"/>
      <c r="U216" s="6"/>
    </row>
    <row r="217" spans="1:21" ht="48" customHeight="1" x14ac:dyDescent="0.25">
      <c r="A217" s="1663" t="s">
        <v>144</v>
      </c>
      <c r="B217" s="1007"/>
      <c r="C217" s="1041" t="s">
        <v>100</v>
      </c>
      <c r="D217" s="1041"/>
      <c r="E217" s="847" t="s">
        <v>800</v>
      </c>
      <c r="F217" s="847" t="s">
        <v>827</v>
      </c>
      <c r="G217" s="1041" t="s">
        <v>792</v>
      </c>
      <c r="H217" s="1643"/>
      <c r="I217" s="1650"/>
      <c r="J217" s="1650"/>
      <c r="K217" s="1650"/>
      <c r="L217" s="1650"/>
      <c r="M217" s="1650"/>
      <c r="N217" s="6"/>
      <c r="O217" s="6"/>
      <c r="P217" s="6"/>
      <c r="Q217" s="6"/>
      <c r="R217" s="6"/>
      <c r="S217" s="6"/>
      <c r="T217" s="6"/>
      <c r="U217" s="6"/>
    </row>
    <row r="218" spans="1:21" ht="31.5" customHeight="1" thickBot="1" x14ac:dyDescent="0.3">
      <c r="A218" s="1634">
        <f>$D$4*(H9/10)*225000*34%</f>
        <v>0</v>
      </c>
      <c r="B218" s="1635"/>
      <c r="C218" s="1706"/>
      <c r="D218" s="1706"/>
      <c r="E218" s="886"/>
      <c r="F218" s="667"/>
      <c r="G218" s="1706"/>
      <c r="H218" s="1707"/>
      <c r="I218" s="1650"/>
      <c r="J218" s="1650"/>
      <c r="K218" s="1650"/>
      <c r="L218" s="1650"/>
      <c r="M218" s="1650"/>
      <c r="N218" s="6"/>
      <c r="O218" s="6"/>
      <c r="P218" s="6"/>
      <c r="Q218" s="6"/>
      <c r="R218" s="6"/>
      <c r="S218" s="6"/>
      <c r="T218" s="6"/>
      <c r="U218" s="6"/>
    </row>
    <row r="219" spans="1:21" ht="15.75" thickBot="1" x14ac:dyDescent="0.3">
      <c r="O219" s="6"/>
      <c r="P219" s="6"/>
      <c r="Q219" s="6"/>
      <c r="R219" s="6"/>
      <c r="S219" s="6"/>
      <c r="T219" s="6"/>
      <c r="U219" s="6"/>
    </row>
    <row r="220" spans="1:21" s="102" customFormat="1" ht="18.75" x14ac:dyDescent="0.3">
      <c r="A220" s="1406" t="s">
        <v>260</v>
      </c>
      <c r="B220" s="1407"/>
      <c r="C220" s="1407"/>
      <c r="D220" s="1407"/>
      <c r="E220" s="1407"/>
      <c r="F220" s="1407"/>
      <c r="G220" s="1407"/>
      <c r="H220" s="1920"/>
      <c r="I220" s="1646" t="s">
        <v>39</v>
      </c>
      <c r="J220" s="1647"/>
      <c r="K220" s="1647"/>
      <c r="L220" s="1647"/>
      <c r="M220" s="1648"/>
      <c r="N220" s="103"/>
    </row>
    <row r="221" spans="1:21" ht="15" customHeight="1" x14ac:dyDescent="0.25">
      <c r="A221" s="496"/>
      <c r="B221" s="497"/>
      <c r="C221" s="10"/>
      <c r="D221" s="10"/>
      <c r="E221" s="10"/>
      <c r="F221" s="10"/>
      <c r="G221" s="10"/>
      <c r="H221" s="11"/>
      <c r="I221" s="1921"/>
      <c r="J221" s="1826"/>
      <c r="K221" s="1826"/>
      <c r="L221" s="1826"/>
      <c r="M221" s="1922"/>
      <c r="N221" s="6"/>
      <c r="O221" s="6"/>
      <c r="P221" s="6"/>
      <c r="Q221" s="6"/>
      <c r="R221" s="6"/>
      <c r="S221" s="6"/>
      <c r="T221" s="6"/>
      <c r="U221" s="6"/>
    </row>
    <row r="222" spans="1:21" x14ac:dyDescent="0.25">
      <c r="A222" s="1398" t="s">
        <v>768</v>
      </c>
      <c r="B222" s="957"/>
      <c r="C222" s="957"/>
      <c r="D222" s="957"/>
      <c r="E222" s="957"/>
      <c r="F222" s="957"/>
      <c r="G222" s="957"/>
      <c r="H222" s="729" t="s">
        <v>769</v>
      </c>
      <c r="I222" s="1649"/>
      <c r="J222" s="1650"/>
      <c r="K222" s="1650"/>
      <c r="L222" s="1650"/>
      <c r="M222" s="1651"/>
      <c r="N222" s="6"/>
      <c r="O222" s="6"/>
      <c r="P222" s="6"/>
      <c r="Q222" s="6"/>
      <c r="R222" s="6"/>
      <c r="S222" s="6"/>
      <c r="T222" s="6"/>
      <c r="U222" s="6"/>
    </row>
    <row r="223" spans="1:21" ht="15.75" thickBot="1" x14ac:dyDescent="0.3">
      <c r="A223" s="1637" t="s">
        <v>153</v>
      </c>
      <c r="B223" s="1638"/>
      <c r="C223" s="1638"/>
      <c r="D223" s="1638"/>
      <c r="E223" s="1638"/>
      <c r="F223" s="1638"/>
      <c r="G223" s="1638"/>
      <c r="H223" s="730" t="s">
        <v>769</v>
      </c>
      <c r="I223" s="1649"/>
      <c r="J223" s="1650"/>
      <c r="K223" s="1650"/>
      <c r="L223" s="1650"/>
      <c r="M223" s="1651"/>
      <c r="N223" s="6"/>
      <c r="O223" s="6"/>
      <c r="P223" s="6"/>
      <c r="Q223" s="6"/>
      <c r="R223" s="6"/>
      <c r="S223" s="6"/>
      <c r="T223" s="6"/>
      <c r="U223" s="6"/>
    </row>
    <row r="224" spans="1:21" ht="15.75" thickBot="1" x14ac:dyDescent="0.3">
      <c r="A224" s="1639" t="s">
        <v>154</v>
      </c>
      <c r="B224" s="1640"/>
      <c r="C224" s="1640"/>
      <c r="D224" s="1640"/>
      <c r="E224" s="1640"/>
      <c r="F224" s="1640"/>
      <c r="G224" s="1640"/>
      <c r="H224" s="668"/>
      <c r="I224" s="1652"/>
      <c r="J224" s="1653"/>
      <c r="K224" s="1653"/>
      <c r="L224" s="1653"/>
      <c r="M224" s="1654"/>
      <c r="N224" s="6"/>
      <c r="O224" s="6"/>
      <c r="P224" s="6"/>
      <c r="Q224" s="6"/>
      <c r="R224" s="6"/>
      <c r="S224" s="6"/>
      <c r="T224" s="6"/>
      <c r="U224" s="6"/>
    </row>
    <row r="225" spans="1:21" ht="15" customHeight="1" thickBot="1" x14ac:dyDescent="0.3">
      <c r="O225" s="6"/>
      <c r="P225" s="6"/>
      <c r="Q225" s="6"/>
      <c r="R225" s="6"/>
      <c r="S225" s="6"/>
      <c r="T225" s="6"/>
      <c r="U225" s="6"/>
    </row>
    <row r="226" spans="1:21" s="139" customFormat="1" ht="15.75" customHeight="1" x14ac:dyDescent="0.25">
      <c r="A226" s="1418" t="s">
        <v>261</v>
      </c>
      <c r="B226" s="1419"/>
      <c r="C226" s="1419"/>
      <c r="D226" s="1419"/>
      <c r="E226" s="1419"/>
      <c r="F226" s="1419"/>
      <c r="G226" s="1419"/>
      <c r="H226" s="1642"/>
      <c r="I226" s="1646" t="s">
        <v>39</v>
      </c>
      <c r="J226" s="1647"/>
      <c r="K226" s="1647"/>
      <c r="L226" s="1647"/>
      <c r="M226" s="1648"/>
      <c r="N226" s="140"/>
    </row>
    <row r="227" spans="1:21" ht="16.5" customHeight="1" x14ac:dyDescent="0.25">
      <c r="A227" s="669"/>
      <c r="B227" s="899"/>
      <c r="C227" s="899"/>
      <c r="D227" s="1636"/>
      <c r="E227" s="1636"/>
      <c r="F227" s="899"/>
      <c r="G227" s="1636"/>
      <c r="H227" s="1641"/>
      <c r="I227" s="1923"/>
      <c r="J227" s="1924"/>
      <c r="K227" s="1924"/>
      <c r="L227" s="1924"/>
      <c r="M227" s="1925"/>
      <c r="N227" s="6"/>
      <c r="O227" s="6"/>
      <c r="P227" s="6"/>
      <c r="Q227" s="6"/>
      <c r="R227" s="6"/>
      <c r="S227" s="6"/>
      <c r="T227" s="6"/>
      <c r="U227" s="6"/>
    </row>
    <row r="228" spans="1:21" ht="45" customHeight="1" x14ac:dyDescent="0.25">
      <c r="A228" s="672" t="s">
        <v>252</v>
      </c>
      <c r="B228" s="847" t="s">
        <v>770</v>
      </c>
      <c r="C228" s="847" t="s">
        <v>100</v>
      </c>
      <c r="D228" s="1041" t="s">
        <v>800</v>
      </c>
      <c r="E228" s="1041"/>
      <c r="F228" s="847" t="s">
        <v>818</v>
      </c>
      <c r="G228" s="1041" t="s">
        <v>792</v>
      </c>
      <c r="H228" s="1643"/>
      <c r="I228" s="1926"/>
      <c r="J228" s="1927"/>
      <c r="K228" s="1927"/>
      <c r="L228" s="1927"/>
      <c r="M228" s="1928"/>
      <c r="O228" s="6"/>
      <c r="P228" s="6"/>
      <c r="Q228" s="6"/>
      <c r="R228" s="6"/>
      <c r="S228" s="6"/>
      <c r="T228" s="6"/>
      <c r="U228" s="6"/>
    </row>
    <row r="229" spans="1:21" ht="15" customHeight="1" x14ac:dyDescent="0.25">
      <c r="A229" s="499" t="s">
        <v>863</v>
      </c>
      <c r="B229" s="673"/>
      <c r="C229" s="896"/>
      <c r="D229" s="1265"/>
      <c r="E229" s="1265"/>
      <c r="F229" s="860"/>
      <c r="G229" s="1265"/>
      <c r="H229" s="1266"/>
      <c r="I229" s="1926"/>
      <c r="J229" s="1927"/>
      <c r="K229" s="1927"/>
      <c r="L229" s="1927"/>
      <c r="M229" s="1928"/>
      <c r="O229" s="6"/>
      <c r="P229" s="6"/>
      <c r="Q229" s="6"/>
      <c r="R229" s="6"/>
      <c r="S229" s="6"/>
      <c r="T229" s="6"/>
      <c r="U229" s="6"/>
    </row>
    <row r="230" spans="1:21" ht="15" customHeight="1" x14ac:dyDescent="0.25">
      <c r="A230" s="499" t="s">
        <v>254</v>
      </c>
      <c r="B230" s="673"/>
      <c r="C230" s="896"/>
      <c r="D230" s="1265"/>
      <c r="E230" s="1265"/>
      <c r="F230" s="860"/>
      <c r="G230" s="1265"/>
      <c r="H230" s="1266"/>
      <c r="I230" s="1926"/>
      <c r="J230" s="1927"/>
      <c r="K230" s="1927"/>
      <c r="L230" s="1927"/>
      <c r="M230" s="1928"/>
      <c r="O230" s="6"/>
      <c r="P230" s="6"/>
      <c r="Q230" s="6"/>
      <c r="R230" s="6"/>
      <c r="S230" s="6"/>
      <c r="T230" s="6"/>
      <c r="U230" s="6"/>
    </row>
    <row r="231" spans="1:21" ht="15" customHeight="1" x14ac:dyDescent="0.25">
      <c r="A231" s="499" t="s">
        <v>255</v>
      </c>
      <c r="B231" s="673"/>
      <c r="C231" s="896"/>
      <c r="D231" s="1265"/>
      <c r="E231" s="1265"/>
      <c r="F231" s="860"/>
      <c r="G231" s="1265"/>
      <c r="H231" s="1266"/>
      <c r="I231" s="1926"/>
      <c r="J231" s="1927"/>
      <c r="K231" s="1927"/>
      <c r="L231" s="1927"/>
      <c r="M231" s="1928"/>
      <c r="O231" s="6"/>
      <c r="P231" s="6"/>
      <c r="Q231" s="6"/>
      <c r="R231" s="6"/>
      <c r="S231" s="6"/>
      <c r="T231" s="6"/>
      <c r="U231" s="6"/>
    </row>
    <row r="232" spans="1:21" ht="15" customHeight="1" thickBot="1" x14ac:dyDescent="0.3">
      <c r="A232" s="533" t="s">
        <v>256</v>
      </c>
      <c r="B232" s="674"/>
      <c r="C232" s="897"/>
      <c r="D232" s="1268"/>
      <c r="E232" s="1268"/>
      <c r="F232" s="861"/>
      <c r="G232" s="1268"/>
      <c r="H232" s="1269"/>
      <c r="I232" s="1926"/>
      <c r="J232" s="1927"/>
      <c r="K232" s="1927"/>
      <c r="L232" s="1927"/>
      <c r="M232" s="1928"/>
      <c r="O232" s="6"/>
      <c r="P232" s="6"/>
      <c r="Q232" s="6"/>
      <c r="R232" s="6"/>
      <c r="S232" s="6"/>
      <c r="T232" s="6"/>
      <c r="U232" s="6"/>
    </row>
    <row r="233" spans="1:21" ht="15.75" thickBot="1" x14ac:dyDescent="0.3">
      <c r="A233" s="1630" t="s">
        <v>2</v>
      </c>
      <c r="B233" s="1631"/>
      <c r="C233" s="675">
        <f t="shared" ref="C233:H233" si="5">SUM(C229:C232)</f>
        <v>0</v>
      </c>
      <c r="D233" s="1629">
        <f t="shared" si="5"/>
        <v>0</v>
      </c>
      <c r="E233" s="1629">
        <f t="shared" si="5"/>
        <v>0</v>
      </c>
      <c r="F233" s="900">
        <f t="shared" si="5"/>
        <v>0</v>
      </c>
      <c r="G233" s="1629">
        <f t="shared" si="5"/>
        <v>0</v>
      </c>
      <c r="H233" s="1915">
        <f t="shared" si="5"/>
        <v>0</v>
      </c>
      <c r="I233" s="1929"/>
      <c r="J233" s="1930"/>
      <c r="K233" s="1930"/>
      <c r="L233" s="1930"/>
      <c r="M233" s="1931"/>
      <c r="O233" s="6"/>
      <c r="P233" s="6"/>
      <c r="Q233" s="6"/>
      <c r="R233" s="6"/>
      <c r="S233" s="6"/>
      <c r="T233" s="6"/>
      <c r="U233" s="6"/>
    </row>
    <row r="234" spans="1:21" s="9" customFormat="1" ht="15.75" thickBot="1" x14ac:dyDescent="0.3">
      <c r="A234" s="543"/>
      <c r="B234" s="548"/>
      <c r="D234" s="670"/>
      <c r="E234" s="670"/>
      <c r="F234" s="548"/>
      <c r="G234" s="670"/>
      <c r="H234" s="670"/>
      <c r="I234" s="671"/>
      <c r="J234" s="671"/>
      <c r="K234" s="671"/>
      <c r="L234" s="671"/>
      <c r="M234" s="671"/>
      <c r="N234" s="101"/>
    </row>
    <row r="235" spans="1:21" s="139" customFormat="1" ht="15.75" customHeight="1" x14ac:dyDescent="0.25">
      <c r="A235" s="571" t="s">
        <v>262</v>
      </c>
      <c r="B235" s="572"/>
      <c r="C235" s="572"/>
      <c r="D235" s="572"/>
      <c r="E235" s="572"/>
      <c r="F235" s="572"/>
      <c r="G235" s="572"/>
      <c r="H235" s="676"/>
      <c r="I235" s="1646" t="s">
        <v>39</v>
      </c>
      <c r="J235" s="1647"/>
      <c r="K235" s="1647"/>
      <c r="L235" s="1647"/>
      <c r="M235" s="1648"/>
      <c r="N235" s="140"/>
    </row>
    <row r="236" spans="1:21" ht="15" customHeight="1" x14ac:dyDescent="0.25">
      <c r="A236" s="536"/>
      <c r="B236" s="584"/>
      <c r="C236" s="587"/>
      <c r="D236" s="587"/>
      <c r="E236" s="587"/>
      <c r="F236" s="587"/>
      <c r="G236" s="587"/>
      <c r="H236" s="128"/>
      <c r="I236" s="1649"/>
      <c r="J236" s="1650"/>
      <c r="K236" s="1650"/>
      <c r="L236" s="1650"/>
      <c r="M236" s="1651"/>
      <c r="O236" s="6"/>
      <c r="P236" s="6"/>
      <c r="Q236" s="6"/>
      <c r="R236" s="6"/>
      <c r="S236" s="6"/>
      <c r="T236" s="6"/>
      <c r="U236" s="6"/>
    </row>
    <row r="237" spans="1:21" s="13" customFormat="1" ht="48.75" customHeight="1" x14ac:dyDescent="0.25">
      <c r="A237" s="849" t="s">
        <v>155</v>
      </c>
      <c r="B237" s="847" t="s">
        <v>748</v>
      </c>
      <c r="C237" s="1042" t="s">
        <v>156</v>
      </c>
      <c r="D237" s="1561"/>
      <c r="E237" s="1913" t="s">
        <v>157</v>
      </c>
      <c r="F237" s="1914"/>
      <c r="G237" s="1041" t="s">
        <v>792</v>
      </c>
      <c r="H237" s="1643"/>
      <c r="I237" s="1649"/>
      <c r="J237" s="1650"/>
      <c r="K237" s="1650"/>
      <c r="L237" s="1650"/>
      <c r="M237" s="1651"/>
      <c r="N237" s="354"/>
    </row>
    <row r="238" spans="1:21" ht="20.25" customHeight="1" x14ac:dyDescent="0.25">
      <c r="A238" s="867" t="s">
        <v>159</v>
      </c>
      <c r="B238" s="881"/>
      <c r="C238" s="1932"/>
      <c r="D238" s="1932"/>
      <c r="E238" s="1932"/>
      <c r="F238" s="1932"/>
      <c r="G238" s="1644"/>
      <c r="H238" s="1645"/>
      <c r="I238" s="1649"/>
      <c r="J238" s="1650"/>
      <c r="K238" s="1650"/>
      <c r="L238" s="1650"/>
      <c r="M238" s="1651"/>
      <c r="O238" s="6"/>
      <c r="P238" s="6"/>
      <c r="Q238" s="6"/>
      <c r="R238" s="6"/>
      <c r="S238" s="6"/>
      <c r="T238" s="6"/>
      <c r="U238" s="6"/>
    </row>
    <row r="239" spans="1:21" ht="20.25" customHeight="1" x14ac:dyDescent="0.25">
      <c r="A239" s="549" t="s">
        <v>160</v>
      </c>
      <c r="B239" s="561"/>
      <c r="C239" s="1618"/>
      <c r="D239" s="1619"/>
      <c r="E239" s="937">
        <f>$D$4*C239*650000</f>
        <v>0</v>
      </c>
      <c r="F239" s="937"/>
      <c r="G239" s="1620"/>
      <c r="H239" s="1621"/>
      <c r="I239" s="1649"/>
      <c r="J239" s="1650"/>
      <c r="K239" s="1650"/>
      <c r="L239" s="1650"/>
      <c r="M239" s="1651"/>
      <c r="O239" s="6"/>
      <c r="P239" s="6"/>
      <c r="Q239" s="6"/>
      <c r="R239" s="6"/>
      <c r="S239" s="6"/>
      <c r="T239" s="6"/>
      <c r="U239" s="6"/>
    </row>
    <row r="240" spans="1:21" ht="20.25" customHeight="1" x14ac:dyDescent="0.25">
      <c r="A240" s="549" t="s">
        <v>161</v>
      </c>
      <c r="B240" s="561"/>
      <c r="C240" s="1618"/>
      <c r="D240" s="1619"/>
      <c r="E240" s="937">
        <f>$D$4*C240*65000</f>
        <v>0</v>
      </c>
      <c r="F240" s="937"/>
      <c r="G240" s="1620"/>
      <c r="H240" s="1621"/>
      <c r="I240" s="1649"/>
      <c r="J240" s="1650"/>
      <c r="K240" s="1650"/>
      <c r="L240" s="1650"/>
      <c r="M240" s="1651"/>
      <c r="O240" s="6"/>
      <c r="P240" s="6"/>
      <c r="Q240" s="6"/>
      <c r="R240" s="6"/>
      <c r="S240" s="6"/>
      <c r="T240" s="6"/>
      <c r="U240" s="6"/>
    </row>
    <row r="241" spans="1:21" ht="20.25" customHeight="1" x14ac:dyDescent="0.25">
      <c r="A241" s="677" t="s">
        <v>162</v>
      </c>
      <c r="B241" s="911"/>
      <c r="C241" s="1616"/>
      <c r="D241" s="1617"/>
      <c r="E241" s="1933"/>
      <c r="F241" s="1933"/>
      <c r="G241" s="1935"/>
      <c r="H241" s="1936"/>
      <c r="I241" s="1649"/>
      <c r="J241" s="1650"/>
      <c r="K241" s="1650"/>
      <c r="L241" s="1650"/>
      <c r="M241" s="1651"/>
      <c r="O241" s="6"/>
      <c r="P241" s="6"/>
      <c r="Q241" s="6"/>
      <c r="R241" s="6"/>
      <c r="S241" s="6"/>
      <c r="T241" s="6"/>
      <c r="U241" s="6"/>
    </row>
    <row r="242" spans="1:21" ht="20.25" customHeight="1" x14ac:dyDescent="0.25">
      <c r="A242" s="549" t="s">
        <v>160</v>
      </c>
      <c r="B242" s="561"/>
      <c r="C242" s="1618"/>
      <c r="D242" s="1619"/>
      <c r="E242" s="937">
        <f>$D$4*C242*650000</f>
        <v>0</v>
      </c>
      <c r="F242" s="937"/>
      <c r="G242" s="1620"/>
      <c r="H242" s="1621"/>
      <c r="I242" s="1649"/>
      <c r="J242" s="1650"/>
      <c r="K242" s="1650"/>
      <c r="L242" s="1650"/>
      <c r="M242" s="1651"/>
      <c r="O242" s="6"/>
      <c r="P242" s="6"/>
      <c r="Q242" s="6"/>
      <c r="R242" s="6"/>
      <c r="S242" s="6"/>
      <c r="T242" s="6"/>
      <c r="U242" s="6"/>
    </row>
    <row r="243" spans="1:21" ht="18.75" customHeight="1" x14ac:dyDescent="0.25">
      <c r="A243" s="627" t="s">
        <v>161</v>
      </c>
      <c r="B243" s="678"/>
      <c r="C243" s="1618"/>
      <c r="D243" s="1619"/>
      <c r="E243" s="937">
        <f>$D$4*C243*65000</f>
        <v>0</v>
      </c>
      <c r="F243" s="937"/>
      <c r="G243" s="1620"/>
      <c r="H243" s="1621"/>
      <c r="I243" s="1649"/>
      <c r="J243" s="1650"/>
      <c r="K243" s="1650"/>
      <c r="L243" s="1650"/>
      <c r="M243" s="1651"/>
      <c r="O243" s="6"/>
      <c r="P243" s="6"/>
      <c r="Q243" s="6"/>
      <c r="R243" s="6"/>
      <c r="S243" s="6"/>
      <c r="T243" s="6"/>
      <c r="U243" s="6"/>
    </row>
    <row r="244" spans="1:21" ht="19.5" thickBot="1" x14ac:dyDescent="0.35">
      <c r="A244" s="1613" t="s">
        <v>2</v>
      </c>
      <c r="B244" s="1614"/>
      <c r="C244" s="1614"/>
      <c r="D244" s="1615"/>
      <c r="E244" s="1934">
        <f>SUM(E239:G240,E242:G243)</f>
        <v>0</v>
      </c>
      <c r="F244" s="1934"/>
      <c r="G244" s="1949">
        <f>SUM(G239:I240,G242:I243)</f>
        <v>0</v>
      </c>
      <c r="H244" s="1950"/>
      <c r="I244" s="1652"/>
      <c r="J244" s="1653"/>
      <c r="K244" s="1653"/>
      <c r="L244" s="1653"/>
      <c r="M244" s="1654"/>
      <c r="O244" s="6"/>
      <c r="P244" s="6"/>
      <c r="Q244" s="6"/>
      <c r="R244" s="6"/>
      <c r="S244" s="6"/>
      <c r="T244" s="6"/>
      <c r="U244" s="6"/>
    </row>
    <row r="245" spans="1:21" ht="15.75" thickBot="1" x14ac:dyDescent="0.3">
      <c r="O245" s="6"/>
      <c r="P245" s="6"/>
      <c r="Q245" s="6"/>
      <c r="R245" s="6"/>
      <c r="S245" s="6"/>
      <c r="T245" s="6"/>
      <c r="U245" s="6"/>
    </row>
    <row r="246" spans="1:21" s="102" customFormat="1" ht="25.5" customHeight="1" x14ac:dyDescent="0.3">
      <c r="A246" s="571" t="s">
        <v>771</v>
      </c>
      <c r="B246" s="572"/>
      <c r="C246" s="572"/>
      <c r="D246" s="572"/>
      <c r="E246" s="572"/>
      <c r="F246" s="572"/>
      <c r="G246" s="572"/>
      <c r="H246" s="572"/>
      <c r="I246" s="1646" t="s">
        <v>39</v>
      </c>
      <c r="J246" s="1647"/>
      <c r="K246" s="1647"/>
      <c r="L246" s="1647"/>
      <c r="M246" s="1648"/>
      <c r="N246" s="103"/>
    </row>
    <row r="247" spans="1:21" ht="15" customHeight="1" x14ac:dyDescent="0.25">
      <c r="B247" s="584"/>
      <c r="C247" s="587"/>
      <c r="D247" s="587"/>
      <c r="E247" s="587"/>
      <c r="F247" s="587"/>
      <c r="G247" s="587"/>
      <c r="H247" s="6"/>
      <c r="I247" s="1946"/>
      <c r="J247" s="1947"/>
      <c r="K247" s="1947"/>
      <c r="L247" s="1947"/>
      <c r="M247" s="1948"/>
      <c r="O247" s="6"/>
      <c r="P247" s="6"/>
      <c r="Q247" s="6"/>
      <c r="R247" s="6"/>
      <c r="S247" s="6"/>
      <c r="T247" s="6"/>
      <c r="U247" s="6"/>
    </row>
    <row r="248" spans="1:21" ht="27.75" customHeight="1" x14ac:dyDescent="0.25">
      <c r="A248" s="499" t="s">
        <v>163</v>
      </c>
      <c r="B248" s="866" t="s">
        <v>748</v>
      </c>
      <c r="C248" s="1422" t="s">
        <v>798</v>
      </c>
      <c r="D248" s="1422"/>
      <c r="E248" s="1437" t="s">
        <v>157</v>
      </c>
      <c r="F248" s="1439"/>
      <c r="G248" s="1332" t="s">
        <v>792</v>
      </c>
      <c r="H248" s="1558"/>
      <c r="I248" s="1937"/>
      <c r="J248" s="1938"/>
      <c r="K248" s="1938"/>
      <c r="L248" s="1938"/>
      <c r="M248" s="1939"/>
      <c r="N248" s="6"/>
      <c r="O248" s="6"/>
      <c r="P248" s="6"/>
      <c r="Q248" s="6"/>
      <c r="R248" s="6"/>
      <c r="S248" s="6"/>
      <c r="T248" s="6"/>
      <c r="U248" s="6"/>
    </row>
    <row r="249" spans="1:21" x14ac:dyDescent="0.25">
      <c r="A249" s="146" t="s">
        <v>164</v>
      </c>
      <c r="B249" s="147"/>
      <c r="C249" s="1464"/>
      <c r="D249" s="1464"/>
      <c r="E249" s="1807"/>
      <c r="F249" s="1808"/>
      <c r="G249" s="1471"/>
      <c r="H249" s="1943"/>
      <c r="I249" s="1937"/>
      <c r="J249" s="1938"/>
      <c r="K249" s="1938"/>
      <c r="L249" s="1938"/>
      <c r="M249" s="1939"/>
      <c r="N249" s="6"/>
      <c r="O249" s="6"/>
      <c r="P249" s="6"/>
      <c r="Q249" s="6"/>
      <c r="R249" s="6"/>
      <c r="S249" s="6"/>
      <c r="T249" s="6"/>
      <c r="U249" s="6"/>
    </row>
    <row r="250" spans="1:21" ht="28.5" x14ac:dyDescent="0.25">
      <c r="A250" s="132" t="s">
        <v>165</v>
      </c>
      <c r="B250" s="561"/>
      <c r="C250" s="1622"/>
      <c r="D250" s="1622"/>
      <c r="E250" s="1459"/>
      <c r="F250" s="1461"/>
      <c r="G250" s="946"/>
      <c r="H250" s="1806"/>
      <c r="I250" s="1937"/>
      <c r="J250" s="1938"/>
      <c r="K250" s="1938"/>
      <c r="L250" s="1938"/>
      <c r="M250" s="1939"/>
      <c r="N250" s="6"/>
      <c r="O250" s="6"/>
      <c r="P250" s="6"/>
      <c r="Q250" s="6"/>
      <c r="R250" s="6"/>
      <c r="S250" s="6"/>
      <c r="T250" s="6"/>
      <c r="U250" s="6"/>
    </row>
    <row r="251" spans="1:21" x14ac:dyDescent="0.25">
      <c r="A251" s="132" t="s">
        <v>166</v>
      </c>
      <c r="B251" s="561"/>
      <c r="C251" s="1622"/>
      <c r="D251" s="1622"/>
      <c r="E251" s="1459"/>
      <c r="F251" s="1461"/>
      <c r="G251" s="946"/>
      <c r="H251" s="1806"/>
      <c r="I251" s="1937"/>
      <c r="J251" s="1938"/>
      <c r="K251" s="1938"/>
      <c r="L251" s="1938"/>
      <c r="M251" s="1939"/>
      <c r="N251" s="6"/>
      <c r="O251" s="6"/>
      <c r="P251" s="6"/>
      <c r="Q251" s="6"/>
      <c r="R251" s="6"/>
      <c r="S251" s="6"/>
      <c r="T251" s="6"/>
      <c r="U251" s="6"/>
    </row>
    <row r="252" spans="1:21" ht="28.5" customHeight="1" x14ac:dyDescent="0.25">
      <c r="A252" s="132" t="s">
        <v>167</v>
      </c>
      <c r="B252" s="561"/>
      <c r="C252" s="1622"/>
      <c r="D252" s="1622"/>
      <c r="E252" s="1459"/>
      <c r="F252" s="1461"/>
      <c r="G252" s="946"/>
      <c r="H252" s="1806"/>
      <c r="I252" s="1937"/>
      <c r="J252" s="1938"/>
      <c r="K252" s="1938"/>
      <c r="L252" s="1938"/>
      <c r="M252" s="1939"/>
      <c r="N252" s="6"/>
      <c r="O252" s="6"/>
      <c r="P252" s="6"/>
      <c r="Q252" s="6"/>
      <c r="R252" s="6"/>
      <c r="S252" s="6"/>
      <c r="T252" s="6"/>
      <c r="U252" s="6"/>
    </row>
    <row r="253" spans="1:21" x14ac:dyDescent="0.25">
      <c r="A253" s="146" t="s">
        <v>168</v>
      </c>
      <c r="B253" s="147"/>
      <c r="C253" s="1464"/>
      <c r="D253" s="1464"/>
      <c r="E253" s="1807"/>
      <c r="F253" s="1808"/>
      <c r="G253" s="1471"/>
      <c r="H253" s="1943"/>
      <c r="I253" s="1937"/>
      <c r="J253" s="1938"/>
      <c r="K253" s="1938"/>
      <c r="L253" s="1938"/>
      <c r="M253" s="1939"/>
      <c r="N253" s="6"/>
      <c r="O253" s="6"/>
      <c r="P253" s="6"/>
      <c r="Q253" s="6"/>
      <c r="R253" s="6"/>
      <c r="S253" s="6"/>
      <c r="T253" s="6"/>
      <c r="U253" s="6"/>
    </row>
    <row r="254" spans="1:21" ht="48.75" x14ac:dyDescent="0.25">
      <c r="A254" s="132" t="s">
        <v>772</v>
      </c>
      <c r="B254" s="561"/>
      <c r="C254" s="1944"/>
      <c r="D254" s="1945"/>
      <c r="E254" s="1809">
        <f>$D$4*C254*60000</f>
        <v>0</v>
      </c>
      <c r="F254" s="1810"/>
      <c r="G254" s="1620"/>
      <c r="H254" s="1623"/>
      <c r="I254" s="1937"/>
      <c r="J254" s="1938"/>
      <c r="K254" s="1938"/>
      <c r="L254" s="1938"/>
      <c r="M254" s="1939"/>
      <c r="N254" s="6"/>
      <c r="O254" s="6"/>
      <c r="P254" s="6"/>
      <c r="Q254" s="6"/>
      <c r="R254" s="6"/>
      <c r="S254" s="6"/>
      <c r="T254" s="6"/>
      <c r="U254" s="6"/>
    </row>
    <row r="255" spans="1:21" ht="66" x14ac:dyDescent="0.25">
      <c r="A255" s="132" t="s">
        <v>169</v>
      </c>
      <c r="B255" s="561"/>
      <c r="C255" s="1622"/>
      <c r="D255" s="1622"/>
      <c r="E255" s="1453">
        <f>$D$4*C255*60000</f>
        <v>0</v>
      </c>
      <c r="F255" s="1455"/>
      <c r="G255" s="1620"/>
      <c r="H255" s="1623"/>
      <c r="I255" s="1937"/>
      <c r="J255" s="1938"/>
      <c r="K255" s="1938"/>
      <c r="L255" s="1938"/>
      <c r="M255" s="1939"/>
      <c r="N255" s="6"/>
      <c r="O255" s="6"/>
      <c r="P255" s="6"/>
      <c r="Q255" s="6"/>
      <c r="R255" s="6"/>
      <c r="S255" s="6"/>
      <c r="T255" s="6"/>
      <c r="U255" s="6"/>
    </row>
    <row r="256" spans="1:21" ht="63" x14ac:dyDescent="0.25">
      <c r="A256" s="132" t="s">
        <v>170</v>
      </c>
      <c r="B256" s="561"/>
      <c r="C256" s="1622"/>
      <c r="D256" s="1622"/>
      <c r="E256" s="1453">
        <f>$D$4*C256*60000</f>
        <v>0</v>
      </c>
      <c r="F256" s="1455"/>
      <c r="G256" s="1620"/>
      <c r="H256" s="1623"/>
      <c r="I256" s="1937"/>
      <c r="J256" s="1938"/>
      <c r="K256" s="1938"/>
      <c r="L256" s="1938"/>
      <c r="M256" s="1939"/>
      <c r="N256" s="6"/>
      <c r="O256" s="6"/>
      <c r="P256" s="6"/>
      <c r="Q256" s="6"/>
      <c r="R256" s="6"/>
      <c r="S256" s="6"/>
      <c r="T256" s="6"/>
      <c r="U256" s="6"/>
    </row>
    <row r="257" spans="1:21" x14ac:dyDescent="0.25">
      <c r="A257" s="132" t="s">
        <v>171</v>
      </c>
      <c r="B257" s="561"/>
      <c r="C257" s="1622"/>
      <c r="D257" s="1622"/>
      <c r="E257" s="1453">
        <f>$D$4*C257*10000</f>
        <v>0</v>
      </c>
      <c r="F257" s="1455"/>
      <c r="G257" s="1620"/>
      <c r="H257" s="1623"/>
      <c r="I257" s="1937"/>
      <c r="J257" s="1938"/>
      <c r="K257" s="1938"/>
      <c r="L257" s="1938"/>
      <c r="M257" s="1939"/>
      <c r="N257" s="6"/>
      <c r="O257" s="6"/>
      <c r="P257" s="6"/>
      <c r="Q257" s="6"/>
      <c r="R257" s="6"/>
      <c r="S257" s="6"/>
      <c r="T257" s="6"/>
      <c r="U257" s="6"/>
    </row>
    <row r="258" spans="1:21" x14ac:dyDescent="0.25">
      <c r="A258" s="132" t="s">
        <v>172</v>
      </c>
      <c r="B258" s="561"/>
      <c r="C258" s="1622"/>
      <c r="D258" s="1622"/>
      <c r="E258" s="1453">
        <f>$D$4*C258*100000</f>
        <v>0</v>
      </c>
      <c r="F258" s="1455"/>
      <c r="G258" s="1620"/>
      <c r="H258" s="1623"/>
      <c r="I258" s="1937"/>
      <c r="J258" s="1938"/>
      <c r="K258" s="1938"/>
      <c r="L258" s="1938"/>
      <c r="M258" s="1939"/>
      <c r="N258" s="6"/>
      <c r="O258" s="6"/>
      <c r="P258" s="6"/>
      <c r="Q258" s="6"/>
      <c r="R258" s="6"/>
      <c r="S258" s="6"/>
      <c r="T258" s="6"/>
      <c r="U258" s="6"/>
    </row>
    <row r="259" spans="1:21" ht="28.5" x14ac:dyDescent="0.25">
      <c r="A259" s="132" t="s">
        <v>173</v>
      </c>
      <c r="B259" s="561"/>
      <c r="C259" s="1622"/>
      <c r="D259" s="1622"/>
      <c r="E259" s="1453">
        <f>(COUNTIF(B5,"Urban")*COUNTIF(H11,"&gt;40")*$D$4*100000)</f>
        <v>0</v>
      </c>
      <c r="F259" s="1455"/>
      <c r="G259" s="1620"/>
      <c r="H259" s="1623"/>
      <c r="I259" s="1937"/>
      <c r="J259" s="1938"/>
      <c r="K259" s="1938"/>
      <c r="L259" s="1938"/>
      <c r="M259" s="1939"/>
      <c r="N259" s="6"/>
      <c r="O259" s="6"/>
      <c r="P259" s="6"/>
      <c r="Q259" s="6"/>
      <c r="R259" s="6"/>
      <c r="S259" s="6"/>
      <c r="T259" s="6"/>
      <c r="U259" s="6"/>
    </row>
    <row r="260" spans="1:21" x14ac:dyDescent="0.25">
      <c r="A260" s="132" t="s">
        <v>89</v>
      </c>
      <c r="B260" s="561"/>
      <c r="C260" s="1622"/>
      <c r="D260" s="1622"/>
      <c r="E260" s="1453">
        <f>$D$4*C260*20000</f>
        <v>0</v>
      </c>
      <c r="F260" s="1455"/>
      <c r="G260" s="1620"/>
      <c r="H260" s="1623"/>
      <c r="I260" s="1937"/>
      <c r="J260" s="1938"/>
      <c r="K260" s="1938"/>
      <c r="L260" s="1938"/>
      <c r="M260" s="1939"/>
      <c r="N260" s="6"/>
      <c r="O260" s="6"/>
      <c r="P260" s="6"/>
      <c r="Q260" s="6"/>
      <c r="R260" s="6"/>
      <c r="S260" s="6"/>
      <c r="T260" s="6"/>
      <c r="U260" s="6"/>
    </row>
    <row r="261" spans="1:21" ht="42.75" x14ac:dyDescent="0.25">
      <c r="A261" s="132" t="s">
        <v>174</v>
      </c>
      <c r="B261" s="561"/>
      <c r="C261" s="1622"/>
      <c r="D261" s="1622"/>
      <c r="E261" s="1453">
        <f>$D$4*C261*85000</f>
        <v>0</v>
      </c>
      <c r="F261" s="1455"/>
      <c r="G261" s="1620"/>
      <c r="H261" s="1623"/>
      <c r="I261" s="1937"/>
      <c r="J261" s="1938"/>
      <c r="K261" s="1938"/>
      <c r="L261" s="1938"/>
      <c r="M261" s="1939"/>
      <c r="N261" s="6"/>
      <c r="O261" s="6"/>
      <c r="P261" s="6"/>
      <c r="Q261" s="6"/>
      <c r="R261" s="6"/>
      <c r="S261" s="6"/>
      <c r="T261" s="6"/>
      <c r="U261" s="6"/>
    </row>
    <row r="262" spans="1:21" x14ac:dyDescent="0.25">
      <c r="A262" s="132" t="s">
        <v>773</v>
      </c>
      <c r="B262" s="561"/>
      <c r="C262" s="1622"/>
      <c r="D262" s="1622"/>
      <c r="E262" s="1459"/>
      <c r="F262" s="1461"/>
      <c r="G262" s="946"/>
      <c r="H262" s="1806"/>
      <c r="I262" s="1937"/>
      <c r="J262" s="1938"/>
      <c r="K262" s="1938"/>
      <c r="L262" s="1938"/>
      <c r="M262" s="1939"/>
      <c r="N262" s="6"/>
      <c r="O262" s="6"/>
      <c r="P262" s="6"/>
      <c r="Q262" s="6"/>
      <c r="R262" s="6"/>
      <c r="S262" s="6"/>
      <c r="T262" s="6"/>
      <c r="U262" s="6"/>
    </row>
    <row r="263" spans="1:21" x14ac:dyDescent="0.25">
      <c r="A263" s="132" t="s">
        <v>175</v>
      </c>
      <c r="B263" s="561"/>
      <c r="C263" s="1622"/>
      <c r="D263" s="1622"/>
      <c r="E263" s="1453">
        <f>$D$4*C263*15000</f>
        <v>0</v>
      </c>
      <c r="F263" s="1455"/>
      <c r="G263" s="1620"/>
      <c r="H263" s="1623"/>
      <c r="I263" s="1937"/>
      <c r="J263" s="1938"/>
      <c r="K263" s="1938"/>
      <c r="L263" s="1938"/>
      <c r="M263" s="1939"/>
      <c r="N263" s="6"/>
      <c r="O263" s="6"/>
      <c r="P263" s="6"/>
      <c r="Q263" s="6"/>
      <c r="R263" s="6"/>
      <c r="S263" s="6"/>
      <c r="T263" s="6"/>
      <c r="U263" s="6"/>
    </row>
    <row r="264" spans="1:21" ht="42.75" x14ac:dyDescent="0.25">
      <c r="A264" s="132" t="s">
        <v>774</v>
      </c>
      <c r="B264" s="561"/>
      <c r="C264" s="1622"/>
      <c r="D264" s="1622"/>
      <c r="E264" s="1459"/>
      <c r="F264" s="1461"/>
      <c r="G264" s="946"/>
      <c r="H264" s="1806"/>
      <c r="I264" s="1937"/>
      <c r="J264" s="1938"/>
      <c r="K264" s="1938"/>
      <c r="L264" s="1938"/>
      <c r="M264" s="1939"/>
      <c r="N264" s="6"/>
      <c r="O264" s="6"/>
      <c r="P264" s="6"/>
      <c r="Q264" s="6"/>
      <c r="R264" s="6"/>
      <c r="S264" s="6"/>
      <c r="T264" s="6"/>
      <c r="U264" s="6"/>
    </row>
    <row r="265" spans="1:21" x14ac:dyDescent="0.25">
      <c r="A265" s="550" t="s">
        <v>775</v>
      </c>
      <c r="B265" s="561"/>
      <c r="C265" s="1622"/>
      <c r="D265" s="1622"/>
      <c r="E265" s="1459"/>
      <c r="F265" s="1461"/>
      <c r="G265" s="1620"/>
      <c r="H265" s="1623"/>
      <c r="I265" s="1937"/>
      <c r="J265" s="1938"/>
      <c r="K265" s="1938"/>
      <c r="L265" s="1938"/>
      <c r="M265" s="1939"/>
      <c r="N265" s="6"/>
      <c r="O265" s="6"/>
      <c r="P265" s="6"/>
      <c r="Q265" s="6"/>
      <c r="R265" s="6"/>
      <c r="S265" s="6"/>
      <c r="T265" s="6"/>
      <c r="U265" s="6"/>
    </row>
    <row r="266" spans="1:21" ht="15.75" thickBot="1" x14ac:dyDescent="0.3">
      <c r="A266" s="550" t="s">
        <v>775</v>
      </c>
      <c r="B266" s="562"/>
      <c r="C266" s="1608"/>
      <c r="D266" s="1608"/>
      <c r="E266" s="1611"/>
      <c r="F266" s="1612"/>
      <c r="G266" s="1609"/>
      <c r="H266" s="1610"/>
      <c r="I266" s="1937"/>
      <c r="J266" s="1938"/>
      <c r="K266" s="1938"/>
      <c r="L266" s="1938"/>
      <c r="M266" s="1939"/>
      <c r="N266" s="6"/>
      <c r="O266" s="6"/>
      <c r="P266" s="6"/>
      <c r="Q266" s="6"/>
      <c r="R266" s="6"/>
      <c r="S266" s="6"/>
      <c r="T266" s="6"/>
      <c r="U266" s="6"/>
    </row>
    <row r="267" spans="1:21" ht="15.75" thickBot="1" x14ac:dyDescent="0.3">
      <c r="A267" s="1482" t="s">
        <v>2</v>
      </c>
      <c r="B267" s="932"/>
      <c r="C267" s="932"/>
      <c r="D267" s="933"/>
      <c r="E267" s="1475">
        <f>SUM(E250:F252,E254:F266)</f>
        <v>0</v>
      </c>
      <c r="F267" s="1478"/>
      <c r="G267" s="1475">
        <f>SUM(G250:H252,G254:H266)</f>
        <v>0</v>
      </c>
      <c r="H267" s="1805"/>
      <c r="I267" s="1940"/>
      <c r="J267" s="1941"/>
      <c r="K267" s="1941"/>
      <c r="L267" s="1941"/>
      <c r="M267" s="1942"/>
      <c r="N267" s="6"/>
      <c r="O267" s="6"/>
      <c r="P267" s="6"/>
      <c r="Q267" s="6"/>
      <c r="R267" s="6"/>
      <c r="S267" s="6"/>
      <c r="T267" s="6"/>
      <c r="U267" s="6"/>
    </row>
    <row r="268" spans="1:21" s="9" customFormat="1" ht="15.75" thickBot="1" x14ac:dyDescent="0.3">
      <c r="A268" s="148"/>
      <c r="B268" s="148"/>
      <c r="C268" s="148"/>
      <c r="D268" s="148"/>
      <c r="E268" s="149"/>
      <c r="F268" s="138"/>
      <c r="G268" s="138"/>
      <c r="H268" s="149"/>
      <c r="I268" s="149"/>
      <c r="J268" s="149"/>
      <c r="K268" s="149"/>
      <c r="L268" s="149"/>
      <c r="M268" s="149"/>
    </row>
    <row r="269" spans="1:21" ht="19.5" customHeight="1" x14ac:dyDescent="0.25">
      <c r="A269" s="1418" t="s">
        <v>776</v>
      </c>
      <c r="B269" s="1419"/>
      <c r="C269" s="1419"/>
      <c r="D269" s="1419"/>
      <c r="E269" s="1419"/>
      <c r="F269" s="1419"/>
      <c r="G269" s="1419"/>
      <c r="H269" s="1419"/>
      <c r="I269" s="1598" t="s">
        <v>39</v>
      </c>
      <c r="J269" s="1599"/>
      <c r="K269" s="1599"/>
      <c r="L269" s="1599"/>
      <c r="M269" s="1600"/>
      <c r="O269" s="6"/>
      <c r="P269" s="6"/>
      <c r="Q269" s="6"/>
      <c r="R269" s="6"/>
      <c r="S269" s="6"/>
      <c r="T269" s="6"/>
      <c r="U269" s="6"/>
    </row>
    <row r="270" spans="1:21" ht="15" customHeight="1" x14ac:dyDescent="0.25">
      <c r="A270" s="551"/>
      <c r="B270" s="899"/>
      <c r="C270" s="13"/>
      <c r="D270" s="13"/>
      <c r="E270" s="13"/>
      <c r="F270" s="13"/>
      <c r="G270" s="13"/>
      <c r="H270" s="13"/>
      <c r="I270" s="1601"/>
      <c r="J270" s="1602"/>
      <c r="K270" s="1602"/>
      <c r="L270" s="1602"/>
      <c r="M270" s="1603"/>
      <c r="O270" s="6"/>
      <c r="P270" s="6"/>
      <c r="Q270" s="6"/>
      <c r="R270" s="6"/>
      <c r="S270" s="6"/>
      <c r="T270" s="6"/>
      <c r="U270" s="6"/>
    </row>
    <row r="271" spans="1:21" ht="62.25" customHeight="1" x14ac:dyDescent="0.25">
      <c r="A271" s="1474" t="s">
        <v>42</v>
      </c>
      <c r="B271" s="1194"/>
      <c r="C271" s="1194" t="s">
        <v>176</v>
      </c>
      <c r="D271" s="1194"/>
      <c r="E271" s="857" t="s">
        <v>177</v>
      </c>
      <c r="F271" s="371" t="s">
        <v>803</v>
      </c>
      <c r="G271" s="1194" t="s">
        <v>799</v>
      </c>
      <c r="H271" s="1804"/>
      <c r="I271" s="1795"/>
      <c r="J271" s="1796"/>
      <c r="K271" s="1796"/>
      <c r="L271" s="1796"/>
      <c r="M271" s="1797"/>
      <c r="N271" s="6"/>
      <c r="O271" s="6"/>
      <c r="P271" s="6"/>
      <c r="Q271" s="6"/>
      <c r="R271" s="6"/>
      <c r="S271" s="6"/>
      <c r="T271" s="6"/>
      <c r="U271" s="6"/>
    </row>
    <row r="272" spans="1:21" ht="33" customHeight="1" x14ac:dyDescent="0.25">
      <c r="A272" s="1062" t="s">
        <v>178</v>
      </c>
      <c r="B272" s="1063"/>
      <c r="C272" s="1792"/>
      <c r="D272" s="1792"/>
      <c r="E272" s="894"/>
      <c r="F272" s="895"/>
      <c r="G272" s="1792"/>
      <c r="H272" s="1793"/>
      <c r="I272" s="1798"/>
      <c r="J272" s="1799"/>
      <c r="K272" s="1799"/>
      <c r="L272" s="1799"/>
      <c r="M272" s="1800"/>
      <c r="N272" s="6"/>
      <c r="O272" s="6"/>
      <c r="P272" s="6"/>
      <c r="Q272" s="6"/>
      <c r="R272" s="6"/>
      <c r="S272" s="6"/>
      <c r="T272" s="6"/>
      <c r="U272" s="6"/>
    </row>
    <row r="273" spans="1:21" ht="59.25" customHeight="1" x14ac:dyDescent="0.25">
      <c r="A273" s="1062" t="s">
        <v>179</v>
      </c>
      <c r="B273" s="1063"/>
      <c r="C273" s="1792"/>
      <c r="D273" s="1792"/>
      <c r="E273" s="894"/>
      <c r="F273" s="895"/>
      <c r="G273" s="1792"/>
      <c r="H273" s="1793"/>
      <c r="I273" s="1798"/>
      <c r="J273" s="1799"/>
      <c r="K273" s="1799"/>
      <c r="L273" s="1799"/>
      <c r="M273" s="1800"/>
      <c r="N273" s="6"/>
      <c r="O273" s="6"/>
      <c r="P273" s="6"/>
      <c r="Q273" s="6"/>
      <c r="R273" s="6"/>
      <c r="S273" s="6"/>
      <c r="T273" s="6"/>
      <c r="U273" s="6"/>
    </row>
    <row r="274" spans="1:21" ht="59.25" customHeight="1" x14ac:dyDescent="0.25">
      <c r="A274" s="1062" t="s">
        <v>864</v>
      </c>
      <c r="B274" s="1063"/>
      <c r="C274" s="1792"/>
      <c r="D274" s="1792"/>
      <c r="E274" s="894"/>
      <c r="F274" s="895"/>
      <c r="G274" s="1792"/>
      <c r="H274" s="1793"/>
      <c r="I274" s="1798"/>
      <c r="J274" s="1799"/>
      <c r="K274" s="1799"/>
      <c r="L274" s="1799"/>
      <c r="M274" s="1800"/>
      <c r="N274" s="6"/>
      <c r="O274" s="6"/>
      <c r="P274" s="6"/>
      <c r="Q274" s="6"/>
      <c r="R274" s="6"/>
      <c r="S274" s="6"/>
      <c r="T274" s="6"/>
      <c r="U274" s="6"/>
    </row>
    <row r="275" spans="1:21" ht="33" customHeight="1" x14ac:dyDescent="0.25">
      <c r="A275" s="1062" t="s">
        <v>181</v>
      </c>
      <c r="B275" s="1063"/>
      <c r="C275" s="1792"/>
      <c r="D275" s="1792"/>
      <c r="E275" s="894"/>
      <c r="F275" s="895"/>
      <c r="G275" s="1792"/>
      <c r="H275" s="1793"/>
      <c r="I275" s="1798"/>
      <c r="J275" s="1799"/>
      <c r="K275" s="1799"/>
      <c r="L275" s="1799"/>
      <c r="M275" s="1800"/>
      <c r="N275" s="6"/>
      <c r="O275" s="6"/>
      <c r="P275" s="6"/>
      <c r="Q275" s="6"/>
      <c r="R275" s="6"/>
      <c r="S275" s="6"/>
      <c r="T275" s="6"/>
      <c r="U275" s="6"/>
    </row>
    <row r="276" spans="1:21" ht="33" customHeight="1" x14ac:dyDescent="0.25">
      <c r="A276" s="1062" t="s">
        <v>889</v>
      </c>
      <c r="B276" s="1063"/>
      <c r="C276" s="1792"/>
      <c r="D276" s="1792"/>
      <c r="E276" s="894"/>
      <c r="F276" s="895"/>
      <c r="G276" s="1792"/>
      <c r="H276" s="1793"/>
      <c r="I276" s="1798"/>
      <c r="J276" s="1799"/>
      <c r="K276" s="1799"/>
      <c r="L276" s="1799"/>
      <c r="M276" s="1800"/>
      <c r="N276" s="6"/>
      <c r="O276" s="6"/>
      <c r="P276" s="6"/>
      <c r="Q276" s="6"/>
      <c r="R276" s="6"/>
      <c r="S276" s="6"/>
      <c r="T276" s="6"/>
      <c r="U276" s="6"/>
    </row>
    <row r="277" spans="1:21" ht="33" customHeight="1" thickBot="1" x14ac:dyDescent="0.3">
      <c r="A277" s="1624" t="s">
        <v>182</v>
      </c>
      <c r="B277" s="1625"/>
      <c r="C277" s="1626"/>
      <c r="D277" s="1626"/>
      <c r="E277" s="879"/>
      <c r="F277" s="679"/>
      <c r="G277" s="1626"/>
      <c r="H277" s="1627"/>
      <c r="I277" s="1798"/>
      <c r="J277" s="1799"/>
      <c r="K277" s="1799"/>
      <c r="L277" s="1799"/>
      <c r="M277" s="1800"/>
      <c r="N277" s="6"/>
      <c r="O277" s="6"/>
      <c r="P277" s="6"/>
      <c r="Q277" s="6"/>
      <c r="R277" s="6"/>
      <c r="S277" s="6"/>
      <c r="T277" s="6"/>
      <c r="U277" s="6"/>
    </row>
    <row r="278" spans="1:21" ht="33" customHeight="1" thickBot="1" x14ac:dyDescent="0.3">
      <c r="A278" s="1482" t="s">
        <v>2</v>
      </c>
      <c r="B278" s="933"/>
      <c r="C278" s="1489">
        <f>SUM(C272:D277)</f>
        <v>0</v>
      </c>
      <c r="D278" s="1489"/>
      <c r="E278" s="875">
        <f>SUM(E272:E277)</f>
        <v>0</v>
      </c>
      <c r="F278" s="880">
        <f>SUM(F272:F277)</f>
        <v>0</v>
      </c>
      <c r="G278" s="1489">
        <f>SUM(G272:H277)</f>
        <v>0</v>
      </c>
      <c r="H278" s="1628"/>
      <c r="I278" s="1801"/>
      <c r="J278" s="1802"/>
      <c r="K278" s="1802"/>
      <c r="L278" s="1802"/>
      <c r="M278" s="1803"/>
      <c r="N278" s="6"/>
      <c r="O278" s="6"/>
      <c r="P278" s="6"/>
      <c r="Q278" s="6"/>
      <c r="R278" s="6"/>
      <c r="S278" s="6"/>
      <c r="T278" s="6"/>
      <c r="U278" s="6"/>
    </row>
    <row r="279" spans="1:21" ht="15.75" thickBot="1" x14ac:dyDescent="0.3">
      <c r="C279" s="150"/>
      <c r="D279" s="150"/>
      <c r="E279" s="150"/>
      <c r="F279" s="150"/>
      <c r="G279" s="150"/>
      <c r="H279" s="150"/>
      <c r="I279" s="150"/>
      <c r="O279" s="6"/>
      <c r="P279" s="6"/>
      <c r="Q279" s="6"/>
      <c r="R279" s="6"/>
      <c r="S279" s="6"/>
      <c r="T279" s="6"/>
      <c r="U279" s="6"/>
    </row>
    <row r="280" spans="1:21" ht="18" x14ac:dyDescent="0.25">
      <c r="A280" s="1418" t="s">
        <v>777</v>
      </c>
      <c r="B280" s="1419"/>
      <c r="C280" s="1419"/>
      <c r="D280" s="1419"/>
      <c r="E280" s="1419"/>
      <c r="F280" s="1419"/>
      <c r="G280" s="1419"/>
      <c r="H280" s="1419"/>
      <c r="I280" s="1599" t="s">
        <v>39</v>
      </c>
      <c r="J280" s="1599"/>
      <c r="K280" s="1599"/>
      <c r="L280" s="1599"/>
      <c r="M280" s="1599"/>
      <c r="O280" s="6"/>
      <c r="P280" s="6"/>
      <c r="Q280" s="6"/>
      <c r="R280" s="6"/>
      <c r="S280" s="6"/>
      <c r="T280" s="6"/>
      <c r="U280" s="6"/>
    </row>
    <row r="281" spans="1:21" ht="15" customHeight="1" x14ac:dyDescent="0.25">
      <c r="A281" s="551"/>
      <c r="B281" s="899"/>
      <c r="C281" s="13"/>
      <c r="D281" s="13"/>
      <c r="E281" s="13"/>
      <c r="F281" s="13"/>
      <c r="G281" s="13"/>
      <c r="H281" s="13"/>
      <c r="I281" s="1602"/>
      <c r="J281" s="1602"/>
      <c r="K281" s="1602"/>
      <c r="L281" s="1602"/>
      <c r="M281" s="1602"/>
      <c r="O281" s="6"/>
      <c r="P281" s="6"/>
      <c r="Q281" s="6"/>
      <c r="R281" s="6"/>
      <c r="S281" s="6"/>
      <c r="T281" s="6"/>
      <c r="U281" s="6"/>
    </row>
    <row r="282" spans="1:21" ht="57" customHeight="1" x14ac:dyDescent="0.25">
      <c r="A282" s="1484" t="s">
        <v>42</v>
      </c>
      <c r="B282" s="1485"/>
      <c r="C282" s="680" t="s">
        <v>176</v>
      </c>
      <c r="D282" s="857" t="s">
        <v>177</v>
      </c>
      <c r="E282" s="1194" t="s">
        <v>803</v>
      </c>
      <c r="F282" s="1194"/>
      <c r="G282" s="1194" t="s">
        <v>799</v>
      </c>
      <c r="H282" s="1194"/>
      <c r="I282" s="1953"/>
      <c r="J282" s="1953"/>
      <c r="K282" s="1953"/>
      <c r="L282" s="1953"/>
      <c r="M282" s="1954"/>
      <c r="O282" s="6"/>
      <c r="P282" s="6"/>
      <c r="Q282" s="6"/>
      <c r="R282" s="6"/>
      <c r="S282" s="6"/>
      <c r="T282" s="6"/>
      <c r="U282" s="6"/>
    </row>
    <row r="283" spans="1:21" ht="30" customHeight="1" x14ac:dyDescent="0.25">
      <c r="A283" s="1484" t="s">
        <v>183</v>
      </c>
      <c r="B283" s="1485"/>
      <c r="C283" s="1498">
        <f>$D$4*80000+(H9/10)*230000</f>
        <v>0</v>
      </c>
      <c r="D283" s="891"/>
      <c r="E283" s="1784"/>
      <c r="F283" s="1784"/>
      <c r="G283" s="1784"/>
      <c r="H283" s="1784"/>
      <c r="I283" s="1953"/>
      <c r="J283" s="1953"/>
      <c r="K283" s="1953"/>
      <c r="L283" s="1953"/>
      <c r="M283" s="1954"/>
      <c r="O283" s="6"/>
      <c r="P283" s="6"/>
      <c r="Q283" s="6"/>
      <c r="R283" s="6"/>
      <c r="S283" s="6"/>
      <c r="T283" s="6"/>
      <c r="U283" s="6"/>
    </row>
    <row r="284" spans="1:21" ht="30" customHeight="1" x14ac:dyDescent="0.25">
      <c r="A284" s="1484" t="s">
        <v>184</v>
      </c>
      <c r="B284" s="1485"/>
      <c r="C284" s="1500"/>
      <c r="D284" s="891"/>
      <c r="E284" s="1784"/>
      <c r="F284" s="1784"/>
      <c r="G284" s="1784"/>
      <c r="H284" s="1784"/>
      <c r="I284" s="1953"/>
      <c r="J284" s="1953"/>
      <c r="K284" s="1953"/>
      <c r="L284" s="1953"/>
      <c r="M284" s="1954"/>
      <c r="O284" s="6"/>
      <c r="P284" s="6"/>
      <c r="Q284" s="6"/>
      <c r="R284" s="6"/>
      <c r="S284" s="6"/>
      <c r="T284" s="6"/>
      <c r="U284" s="6"/>
    </row>
    <row r="285" spans="1:21" ht="30" customHeight="1" x14ac:dyDescent="0.25">
      <c r="A285" s="1484" t="s">
        <v>185</v>
      </c>
      <c r="B285" s="1485"/>
      <c r="C285" s="1500"/>
      <c r="D285" s="891"/>
      <c r="E285" s="1784"/>
      <c r="F285" s="1784"/>
      <c r="G285" s="1784"/>
      <c r="H285" s="1784"/>
      <c r="I285" s="1953"/>
      <c r="J285" s="1953"/>
      <c r="K285" s="1953"/>
      <c r="L285" s="1953"/>
      <c r="M285" s="1954"/>
      <c r="O285" s="6"/>
      <c r="P285" s="6"/>
      <c r="Q285" s="6"/>
      <c r="R285" s="6"/>
      <c r="S285" s="6"/>
      <c r="T285" s="6"/>
      <c r="U285" s="6"/>
    </row>
    <row r="286" spans="1:21" ht="30" customHeight="1" x14ac:dyDescent="0.25">
      <c r="A286" s="1484" t="s">
        <v>186</v>
      </c>
      <c r="B286" s="1485"/>
      <c r="C286" s="1500"/>
      <c r="D286" s="891"/>
      <c r="E286" s="1784"/>
      <c r="F286" s="1784"/>
      <c r="G286" s="1784"/>
      <c r="H286" s="1784"/>
      <c r="I286" s="1953"/>
      <c r="J286" s="1953"/>
      <c r="K286" s="1953"/>
      <c r="L286" s="1953"/>
      <c r="M286" s="1954"/>
      <c r="O286" s="6"/>
      <c r="P286" s="6"/>
      <c r="Q286" s="6"/>
      <c r="R286" s="6"/>
      <c r="S286" s="6"/>
      <c r="T286" s="6"/>
      <c r="U286" s="6"/>
    </row>
    <row r="287" spans="1:21" ht="30" customHeight="1" x14ac:dyDescent="0.25">
      <c r="A287" s="1484" t="s">
        <v>187</v>
      </c>
      <c r="B287" s="1485"/>
      <c r="C287" s="1500"/>
      <c r="D287" s="891"/>
      <c r="E287" s="1784"/>
      <c r="F287" s="1784"/>
      <c r="G287" s="1784"/>
      <c r="H287" s="1784"/>
      <c r="I287" s="1953"/>
      <c r="J287" s="1953"/>
      <c r="K287" s="1953"/>
      <c r="L287" s="1953"/>
      <c r="M287" s="1954"/>
      <c r="O287" s="6"/>
      <c r="P287" s="6"/>
      <c r="Q287" s="6"/>
      <c r="R287" s="6"/>
      <c r="S287" s="6"/>
      <c r="T287" s="6"/>
      <c r="U287" s="6"/>
    </row>
    <row r="288" spans="1:21" ht="30" customHeight="1" x14ac:dyDescent="0.25">
      <c r="A288" s="1959" t="s">
        <v>182</v>
      </c>
      <c r="B288" s="1960"/>
      <c r="C288" s="1783"/>
      <c r="D288" s="891"/>
      <c r="E288" s="1784"/>
      <c r="F288" s="1784"/>
      <c r="G288" s="1784"/>
      <c r="H288" s="1784"/>
      <c r="I288" s="1953"/>
      <c r="J288" s="1953"/>
      <c r="K288" s="1953"/>
      <c r="L288" s="1953"/>
      <c r="M288" s="1954"/>
      <c r="O288" s="6"/>
      <c r="P288" s="6"/>
      <c r="Q288" s="6"/>
      <c r="R288" s="6"/>
      <c r="S288" s="6"/>
      <c r="T288" s="6"/>
      <c r="U288" s="6"/>
    </row>
    <row r="289" spans="1:21" ht="15.75" thickBot="1" x14ac:dyDescent="0.3">
      <c r="A289" s="1789" t="s">
        <v>143</v>
      </c>
      <c r="B289" s="1790"/>
      <c r="C289" s="681">
        <f>C283</f>
        <v>0</v>
      </c>
      <c r="D289" s="893">
        <f>SUM(D283:D288)</f>
        <v>0</v>
      </c>
      <c r="E289" s="1791">
        <f>SUM(E283:F288)</f>
        <v>0</v>
      </c>
      <c r="F289" s="1791"/>
      <c r="G289" s="1791">
        <f>SUM(G283:H288)</f>
        <v>0</v>
      </c>
      <c r="H289" s="1791"/>
      <c r="I289" s="1953"/>
      <c r="J289" s="1953"/>
      <c r="K289" s="1953"/>
      <c r="L289" s="1953"/>
      <c r="M289" s="1954"/>
      <c r="O289" s="6"/>
      <c r="P289" s="6"/>
      <c r="Q289" s="6"/>
      <c r="R289" s="6"/>
      <c r="S289" s="6"/>
      <c r="T289" s="6"/>
      <c r="U289" s="6"/>
    </row>
    <row r="290" spans="1:21" x14ac:dyDescent="0.25">
      <c r="C290" s="150"/>
      <c r="D290" s="150"/>
      <c r="E290" s="150"/>
      <c r="F290" s="150"/>
      <c r="G290" s="150"/>
      <c r="H290" s="150"/>
      <c r="I290" s="150"/>
      <c r="O290" s="6"/>
      <c r="P290" s="6"/>
      <c r="Q290" s="6"/>
      <c r="R290" s="6"/>
      <c r="S290" s="6"/>
      <c r="T290" s="6"/>
      <c r="U290" s="6"/>
    </row>
    <row r="291" spans="1:21" s="9" customFormat="1" x14ac:dyDescent="0.25">
      <c r="A291" s="70"/>
      <c r="B291" s="70"/>
      <c r="C291"/>
      <c r="D291"/>
      <c r="E291"/>
      <c r="F291"/>
      <c r="G291"/>
      <c r="H291"/>
      <c r="I291"/>
      <c r="J291"/>
      <c r="K291"/>
      <c r="L291"/>
      <c r="M291"/>
      <c r="N291" s="101"/>
    </row>
    <row r="292" spans="1:21" ht="27.75" customHeight="1" x14ac:dyDescent="0.25">
      <c r="A292" s="682" t="s">
        <v>778</v>
      </c>
      <c r="B292" s="567"/>
      <c r="C292" s="567"/>
      <c r="D292" s="567"/>
      <c r="E292" s="567"/>
      <c r="F292" s="567"/>
      <c r="G292" s="567"/>
      <c r="H292" s="567"/>
      <c r="I292" s="567"/>
      <c r="J292" s="567"/>
      <c r="K292" s="567"/>
      <c r="L292" s="567"/>
      <c r="M292" s="567"/>
      <c r="N292" s="6"/>
      <c r="O292" s="6"/>
      <c r="P292" s="6"/>
      <c r="Q292" s="6"/>
      <c r="R292" s="6"/>
      <c r="S292" s="6"/>
      <c r="T292" s="6"/>
      <c r="U292" s="6"/>
    </row>
    <row r="293" spans="1:21" ht="18.75" thickBot="1" x14ac:dyDescent="0.3">
      <c r="A293" s="552"/>
      <c r="B293" s="552"/>
      <c r="C293" s="152"/>
      <c r="D293" s="152"/>
      <c r="E293" s="152"/>
      <c r="F293" s="152"/>
      <c r="G293" s="152"/>
      <c r="H293" s="152"/>
      <c r="I293" s="152"/>
      <c r="J293" s="152"/>
      <c r="K293" s="1955"/>
      <c r="L293" s="1955"/>
      <c r="M293" s="1955"/>
      <c r="N293" s="6"/>
      <c r="O293" s="6"/>
      <c r="P293" s="6"/>
      <c r="Q293" s="6"/>
      <c r="R293" s="6"/>
      <c r="S293" s="6"/>
      <c r="T293" s="6"/>
      <c r="U293" s="6"/>
    </row>
    <row r="294" spans="1:21" ht="37.5" customHeight="1" x14ac:dyDescent="0.25">
      <c r="A294" s="1794" t="s">
        <v>0</v>
      </c>
      <c r="B294" s="1786" t="s">
        <v>1</v>
      </c>
      <c r="C294" s="1786"/>
      <c r="D294" s="1785" t="s">
        <v>258</v>
      </c>
      <c r="E294" s="1785"/>
      <c r="F294" s="1785" t="s">
        <v>786</v>
      </c>
      <c r="G294" s="1785"/>
      <c r="H294" s="1785"/>
      <c r="I294" s="1786" t="s">
        <v>952</v>
      </c>
      <c r="J294" s="1787"/>
      <c r="K294" s="1956" t="s">
        <v>829</v>
      </c>
      <c r="L294" s="1957"/>
      <c r="M294" s="1958"/>
      <c r="N294" s="6"/>
      <c r="O294" s="6"/>
      <c r="P294" s="6"/>
      <c r="Q294" s="6"/>
      <c r="R294" s="6"/>
      <c r="S294" s="6"/>
      <c r="T294" s="6"/>
      <c r="U294" s="6"/>
    </row>
    <row r="295" spans="1:21" ht="75" x14ac:dyDescent="0.25">
      <c r="A295" s="1502"/>
      <c r="B295" s="1503"/>
      <c r="C295" s="1503"/>
      <c r="D295" s="876" t="s">
        <v>41</v>
      </c>
      <c r="E295" s="876" t="s">
        <v>191</v>
      </c>
      <c r="F295" s="876" t="s">
        <v>41</v>
      </c>
      <c r="G295" s="851" t="s">
        <v>192</v>
      </c>
      <c r="H295" s="876" t="s">
        <v>951</v>
      </c>
      <c r="I295" s="1503"/>
      <c r="J295" s="1788"/>
      <c r="K295" s="687"/>
      <c r="L295" s="877"/>
      <c r="M295" s="892"/>
      <c r="N295" s="6"/>
      <c r="O295" s="6"/>
      <c r="P295" s="6"/>
      <c r="Q295" s="6"/>
      <c r="R295" s="6"/>
      <c r="S295" s="6"/>
      <c r="T295" s="6"/>
      <c r="U295" s="6"/>
    </row>
    <row r="296" spans="1:21" ht="15.75" x14ac:dyDescent="0.25">
      <c r="A296" s="176">
        <v>1</v>
      </c>
      <c r="B296" s="1511" t="s">
        <v>3</v>
      </c>
      <c r="C296" s="1511"/>
      <c r="D296" s="688"/>
      <c r="E296" s="688"/>
      <c r="F296" s="688"/>
      <c r="G296" s="688"/>
      <c r="H296" s="688"/>
      <c r="I296" s="1513">
        <f>H49</f>
        <v>0</v>
      </c>
      <c r="J296" s="1604"/>
      <c r="K296" s="694"/>
      <c r="L296" s="695"/>
      <c r="M296" s="696"/>
      <c r="N296" s="6"/>
      <c r="O296" s="6"/>
      <c r="P296" s="6"/>
      <c r="Q296" s="6"/>
      <c r="R296" s="6"/>
      <c r="S296" s="6"/>
      <c r="T296" s="6"/>
      <c r="U296" s="6"/>
    </row>
    <row r="297" spans="1:21" ht="15.75" x14ac:dyDescent="0.25">
      <c r="A297" s="176">
        <v>2</v>
      </c>
      <c r="B297" s="1511" t="s">
        <v>4</v>
      </c>
      <c r="C297" s="1511"/>
      <c r="D297" s="688"/>
      <c r="E297" s="688"/>
      <c r="F297" s="688"/>
      <c r="G297" s="688"/>
      <c r="H297" s="688"/>
      <c r="I297" s="1513">
        <f>H57</f>
        <v>0</v>
      </c>
      <c r="J297" s="1604"/>
      <c r="K297" s="694"/>
      <c r="L297" s="695"/>
      <c r="M297" s="696"/>
      <c r="N297" s="6"/>
      <c r="O297" s="6"/>
      <c r="P297" s="6"/>
      <c r="Q297" s="6"/>
      <c r="R297" s="6"/>
      <c r="S297" s="6"/>
      <c r="T297" s="6"/>
      <c r="U297" s="6"/>
    </row>
    <row r="298" spans="1:21" ht="15.75" x14ac:dyDescent="0.25">
      <c r="A298" s="176">
        <v>3</v>
      </c>
      <c r="B298" s="1511" t="s">
        <v>5</v>
      </c>
      <c r="C298" s="1511"/>
      <c r="D298" s="688"/>
      <c r="E298" s="688"/>
      <c r="F298" s="688"/>
      <c r="G298" s="688"/>
      <c r="H298" s="688"/>
      <c r="I298" s="1512">
        <f>H68</f>
        <v>0</v>
      </c>
      <c r="J298" s="1604"/>
      <c r="K298" s="694"/>
      <c r="L298" s="695"/>
      <c r="M298" s="696"/>
      <c r="N298" s="6"/>
      <c r="O298" s="6"/>
      <c r="P298" s="6"/>
      <c r="Q298" s="6"/>
      <c r="R298" s="6"/>
      <c r="S298" s="6"/>
      <c r="T298" s="6"/>
      <c r="U298" s="6"/>
    </row>
    <row r="299" spans="1:21" ht="15.75" x14ac:dyDescent="0.25">
      <c r="A299" s="176">
        <v>4</v>
      </c>
      <c r="B299" s="1511" t="s">
        <v>6</v>
      </c>
      <c r="C299" s="1511"/>
      <c r="D299" s="688"/>
      <c r="E299" s="688"/>
      <c r="F299" s="688"/>
      <c r="G299" s="688"/>
      <c r="H299" s="688"/>
      <c r="I299" s="1512">
        <f>H81</f>
        <v>0</v>
      </c>
      <c r="J299" s="1604"/>
      <c r="K299" s="694"/>
      <c r="L299" s="695"/>
      <c r="M299" s="696"/>
      <c r="N299" s="6"/>
      <c r="O299" s="6"/>
      <c r="P299" s="6"/>
      <c r="Q299" s="6"/>
      <c r="R299" s="6"/>
      <c r="S299" s="6"/>
      <c r="T299" s="6"/>
      <c r="U299" s="6"/>
    </row>
    <row r="300" spans="1:21" ht="15.75" x14ac:dyDescent="0.25">
      <c r="A300" s="176">
        <v>5</v>
      </c>
      <c r="B300" s="1511" t="s">
        <v>7</v>
      </c>
      <c r="C300" s="1511"/>
      <c r="D300" s="688"/>
      <c r="E300" s="688"/>
      <c r="F300" s="688"/>
      <c r="G300" s="688"/>
      <c r="H300" s="688"/>
      <c r="I300" s="1513">
        <f>I117</f>
        <v>0</v>
      </c>
      <c r="J300" s="1604"/>
      <c r="K300" s="694"/>
      <c r="L300" s="695"/>
      <c r="M300" s="696"/>
      <c r="N300" s="6"/>
      <c r="O300" s="6"/>
      <c r="P300" s="6"/>
      <c r="Q300" s="6"/>
      <c r="R300" s="6"/>
      <c r="S300" s="6"/>
      <c r="T300" s="6"/>
      <c r="U300" s="6"/>
    </row>
    <row r="301" spans="1:21" ht="15.75" x14ac:dyDescent="0.25">
      <c r="A301" s="176">
        <v>6</v>
      </c>
      <c r="B301" s="1511" t="s">
        <v>8</v>
      </c>
      <c r="C301" s="1511"/>
      <c r="D301" s="688"/>
      <c r="E301" s="688"/>
      <c r="F301" s="688"/>
      <c r="G301" s="688"/>
      <c r="H301" s="688"/>
      <c r="I301" s="1512">
        <f>G122</f>
        <v>0</v>
      </c>
      <c r="J301" s="1604"/>
      <c r="K301" s="694"/>
      <c r="L301" s="695"/>
      <c r="M301" s="696"/>
      <c r="N301" s="6"/>
      <c r="O301" s="6"/>
      <c r="P301" s="6"/>
      <c r="Q301" s="6"/>
      <c r="R301" s="6"/>
      <c r="S301" s="6"/>
      <c r="T301" s="6"/>
      <c r="U301" s="6"/>
    </row>
    <row r="302" spans="1:21" ht="39" customHeight="1" x14ac:dyDescent="0.25">
      <c r="A302" s="176">
        <v>7</v>
      </c>
      <c r="B302" s="1511" t="s">
        <v>9</v>
      </c>
      <c r="C302" s="1511"/>
      <c r="D302" s="688"/>
      <c r="E302" s="688"/>
      <c r="F302" s="688"/>
      <c r="G302" s="688"/>
      <c r="H302" s="688"/>
      <c r="I302" s="1512">
        <f>G135</f>
        <v>0</v>
      </c>
      <c r="J302" s="1604"/>
      <c r="K302" s="694"/>
      <c r="L302" s="695"/>
      <c r="M302" s="696"/>
      <c r="N302" s="6"/>
      <c r="O302" s="6"/>
      <c r="P302" s="6"/>
      <c r="Q302" s="6"/>
      <c r="R302" s="6"/>
      <c r="S302" s="6"/>
      <c r="T302" s="6"/>
      <c r="U302" s="6"/>
    </row>
    <row r="303" spans="1:21" ht="15.75" x14ac:dyDescent="0.25">
      <c r="A303" s="176">
        <v>8</v>
      </c>
      <c r="B303" s="1511" t="s">
        <v>10</v>
      </c>
      <c r="C303" s="1511"/>
      <c r="D303" s="688"/>
      <c r="E303" s="688"/>
      <c r="F303" s="688"/>
      <c r="G303" s="688"/>
      <c r="H303" s="688"/>
      <c r="I303" s="1512">
        <f>G144</f>
        <v>0</v>
      </c>
      <c r="J303" s="1604"/>
      <c r="K303" s="694"/>
      <c r="L303" s="695"/>
      <c r="M303" s="696"/>
      <c r="N303" s="6"/>
      <c r="O303" s="6"/>
      <c r="P303" s="6"/>
      <c r="Q303" s="6"/>
      <c r="R303" s="6"/>
      <c r="S303" s="6"/>
      <c r="T303" s="6"/>
      <c r="U303" s="6"/>
    </row>
    <row r="304" spans="1:21" ht="15.75" x14ac:dyDescent="0.25">
      <c r="A304" s="176">
        <v>9</v>
      </c>
      <c r="B304" s="1511" t="s">
        <v>11</v>
      </c>
      <c r="C304" s="1511"/>
      <c r="D304" s="688"/>
      <c r="E304" s="688"/>
      <c r="F304" s="688"/>
      <c r="G304" s="688"/>
      <c r="H304" s="688"/>
      <c r="I304" s="1512">
        <f>G152</f>
        <v>0</v>
      </c>
      <c r="J304" s="1604"/>
      <c r="K304" s="694"/>
      <c r="L304" s="695"/>
      <c r="M304" s="696"/>
      <c r="N304" s="6"/>
      <c r="O304" s="6"/>
      <c r="P304" s="6"/>
      <c r="Q304" s="6"/>
      <c r="R304" s="6"/>
      <c r="S304" s="6"/>
      <c r="T304" s="6"/>
      <c r="U304" s="6"/>
    </row>
    <row r="305" spans="1:21" ht="15.75" x14ac:dyDescent="0.25">
      <c r="A305" s="176">
        <v>10</v>
      </c>
      <c r="B305" s="1511" t="s">
        <v>12</v>
      </c>
      <c r="C305" s="1511"/>
      <c r="D305" s="688"/>
      <c r="E305" s="688"/>
      <c r="F305" s="688"/>
      <c r="G305" s="688"/>
      <c r="H305" s="688"/>
      <c r="I305" s="1512">
        <f>G195</f>
        <v>0</v>
      </c>
      <c r="J305" s="1604"/>
      <c r="K305" s="694"/>
      <c r="L305" s="695"/>
      <c r="M305" s="696"/>
      <c r="N305" s="6"/>
      <c r="O305" s="6"/>
      <c r="P305" s="6"/>
      <c r="Q305" s="6"/>
      <c r="R305" s="6"/>
      <c r="S305" s="6"/>
      <c r="T305" s="6"/>
      <c r="U305" s="6"/>
    </row>
    <row r="306" spans="1:21" ht="15.75" x14ac:dyDescent="0.25">
      <c r="A306" s="176">
        <v>11</v>
      </c>
      <c r="B306" s="1511" t="s">
        <v>13</v>
      </c>
      <c r="C306" s="1511"/>
      <c r="D306" s="688"/>
      <c r="E306" s="688"/>
      <c r="F306" s="688"/>
      <c r="G306" s="688"/>
      <c r="H306" s="688"/>
      <c r="I306" s="1512">
        <f>G208</f>
        <v>0</v>
      </c>
      <c r="J306" s="1604"/>
      <c r="K306" s="694"/>
      <c r="L306" s="695"/>
      <c r="M306" s="696"/>
      <c r="N306" s="6"/>
      <c r="O306" s="6"/>
      <c r="P306" s="6"/>
      <c r="Q306" s="6"/>
      <c r="R306" s="6"/>
      <c r="S306" s="6"/>
      <c r="T306" s="6"/>
      <c r="U306" s="6"/>
    </row>
    <row r="307" spans="1:21" ht="15.75" x14ac:dyDescent="0.25">
      <c r="A307" s="176">
        <v>12</v>
      </c>
      <c r="B307" s="1511" t="s">
        <v>14</v>
      </c>
      <c r="C307" s="1511"/>
      <c r="D307" s="688"/>
      <c r="E307" s="688"/>
      <c r="F307" s="688"/>
      <c r="G307" s="688"/>
      <c r="H307" s="688"/>
      <c r="I307" s="1512">
        <f>G213</f>
        <v>0</v>
      </c>
      <c r="J307" s="1604"/>
      <c r="K307" s="694"/>
      <c r="L307" s="695"/>
      <c r="M307" s="696"/>
      <c r="N307" s="6"/>
      <c r="O307" s="6"/>
      <c r="P307" s="6"/>
      <c r="Q307" s="6"/>
      <c r="R307" s="6"/>
      <c r="S307" s="6"/>
      <c r="T307" s="6"/>
      <c r="U307" s="6"/>
    </row>
    <row r="308" spans="1:21" ht="15.75" x14ac:dyDescent="0.25">
      <c r="A308" s="176">
        <v>13</v>
      </c>
      <c r="B308" s="1511" t="s">
        <v>15</v>
      </c>
      <c r="C308" s="1511"/>
      <c r="D308" s="688"/>
      <c r="E308" s="688"/>
      <c r="F308" s="688"/>
      <c r="G308" s="688"/>
      <c r="H308" s="688"/>
      <c r="I308" s="1512">
        <f>G218</f>
        <v>0</v>
      </c>
      <c r="J308" s="1604"/>
      <c r="K308" s="694"/>
      <c r="L308" s="695"/>
      <c r="M308" s="696"/>
      <c r="N308" s="6"/>
      <c r="O308" s="6"/>
      <c r="P308" s="6"/>
      <c r="Q308" s="6"/>
      <c r="R308" s="6"/>
      <c r="S308" s="6"/>
      <c r="T308" s="6"/>
      <c r="U308" s="6"/>
    </row>
    <row r="309" spans="1:21" ht="15.75" x14ac:dyDescent="0.25">
      <c r="A309" s="176">
        <v>14</v>
      </c>
      <c r="B309" s="1511" t="s">
        <v>16</v>
      </c>
      <c r="C309" s="1511"/>
      <c r="D309" s="688"/>
      <c r="E309" s="688"/>
      <c r="F309" s="688"/>
      <c r="G309" s="688"/>
      <c r="H309" s="688"/>
      <c r="I309" s="1513">
        <f>H224</f>
        <v>0</v>
      </c>
      <c r="J309" s="1604"/>
      <c r="K309" s="694"/>
      <c r="L309" s="695"/>
      <c r="M309" s="696"/>
      <c r="N309" s="6"/>
      <c r="O309" s="6"/>
      <c r="P309" s="6"/>
      <c r="Q309" s="6"/>
      <c r="R309" s="6"/>
      <c r="S309" s="6"/>
      <c r="T309" s="6"/>
      <c r="U309" s="6"/>
    </row>
    <row r="310" spans="1:21" ht="15.75" x14ac:dyDescent="0.25">
      <c r="A310" s="176">
        <v>15</v>
      </c>
      <c r="B310" s="1511" t="s">
        <v>251</v>
      </c>
      <c r="C310" s="1511"/>
      <c r="D310" s="688"/>
      <c r="E310" s="688"/>
      <c r="F310" s="688"/>
      <c r="G310" s="688"/>
      <c r="H310" s="688"/>
      <c r="I310" s="1512">
        <f>G233</f>
        <v>0</v>
      </c>
      <c r="J310" s="1604"/>
      <c r="K310" s="694"/>
      <c r="L310" s="695"/>
      <c r="M310" s="696"/>
      <c r="N310" s="6"/>
      <c r="O310" s="6"/>
      <c r="P310" s="6"/>
      <c r="Q310" s="6"/>
      <c r="R310" s="6"/>
      <c r="S310" s="6"/>
      <c r="T310" s="6"/>
      <c r="U310" s="6"/>
    </row>
    <row r="311" spans="1:21" ht="15.75" x14ac:dyDescent="0.25">
      <c r="A311" s="176">
        <v>16</v>
      </c>
      <c r="B311" s="1511" t="s">
        <v>17</v>
      </c>
      <c r="C311" s="1511"/>
      <c r="D311" s="688"/>
      <c r="E311" s="688"/>
      <c r="F311" s="688"/>
      <c r="G311" s="688"/>
      <c r="H311" s="688"/>
      <c r="I311" s="1512">
        <f>G244</f>
        <v>0</v>
      </c>
      <c r="J311" s="1604"/>
      <c r="K311" s="694"/>
      <c r="L311" s="695"/>
      <c r="M311" s="696"/>
      <c r="N311" s="6"/>
      <c r="O311" s="6"/>
      <c r="P311" s="6"/>
      <c r="Q311" s="6"/>
      <c r="R311" s="6"/>
      <c r="S311" s="6"/>
      <c r="T311" s="6"/>
      <c r="U311" s="6"/>
    </row>
    <row r="312" spans="1:21" ht="15.75" x14ac:dyDescent="0.25">
      <c r="A312" s="176">
        <v>17</v>
      </c>
      <c r="B312" s="1511" t="s">
        <v>18</v>
      </c>
      <c r="C312" s="1511"/>
      <c r="D312" s="688"/>
      <c r="E312" s="688"/>
      <c r="F312" s="688"/>
      <c r="G312" s="688"/>
      <c r="H312" s="688"/>
      <c r="I312" s="1512">
        <f>G267</f>
        <v>0</v>
      </c>
      <c r="J312" s="1604"/>
      <c r="K312" s="694"/>
      <c r="L312" s="695"/>
      <c r="M312" s="696"/>
      <c r="N312" s="6"/>
      <c r="O312" s="6"/>
      <c r="P312" s="6"/>
      <c r="Q312" s="6"/>
      <c r="R312" s="6"/>
      <c r="S312" s="6"/>
      <c r="T312" s="6"/>
      <c r="U312" s="6"/>
    </row>
    <row r="313" spans="1:21" ht="15.75" x14ac:dyDescent="0.25">
      <c r="A313" s="176">
        <v>18</v>
      </c>
      <c r="B313" s="1511" t="s">
        <v>19</v>
      </c>
      <c r="C313" s="1511"/>
      <c r="D313" s="688"/>
      <c r="E313" s="688"/>
      <c r="F313" s="688"/>
      <c r="G313" s="688"/>
      <c r="H313" s="688"/>
      <c r="I313" s="1512">
        <f>G278</f>
        <v>0</v>
      </c>
      <c r="J313" s="1604"/>
      <c r="K313" s="694"/>
      <c r="L313" s="695"/>
      <c r="M313" s="696"/>
      <c r="N313" s="6"/>
      <c r="O313" s="6"/>
      <c r="P313" s="6"/>
      <c r="Q313" s="6"/>
      <c r="R313" s="6"/>
      <c r="S313" s="6"/>
      <c r="T313" s="6"/>
      <c r="U313" s="6"/>
    </row>
    <row r="314" spans="1:21" ht="16.5" thickBot="1" x14ac:dyDescent="0.3">
      <c r="A314" s="685">
        <v>19</v>
      </c>
      <c r="B314" s="1531" t="s">
        <v>20</v>
      </c>
      <c r="C314" s="1531"/>
      <c r="D314" s="689"/>
      <c r="E314" s="689"/>
      <c r="F314" s="689"/>
      <c r="G314" s="689"/>
      <c r="H314" s="689"/>
      <c r="I314" s="1532">
        <f>G289</f>
        <v>0</v>
      </c>
      <c r="J314" s="1781"/>
      <c r="K314" s="697"/>
      <c r="L314" s="698"/>
      <c r="M314" s="699"/>
      <c r="N314" s="6"/>
      <c r="O314" s="6"/>
      <c r="P314" s="6"/>
      <c r="Q314" s="6"/>
      <c r="R314" s="6"/>
      <c r="S314" s="6"/>
      <c r="T314" s="6"/>
      <c r="U314" s="6"/>
    </row>
    <row r="315" spans="1:21" ht="16.5" thickBot="1" x14ac:dyDescent="0.3">
      <c r="A315" s="553"/>
      <c r="B315" s="1520" t="s">
        <v>2</v>
      </c>
      <c r="C315" s="1520"/>
      <c r="D315" s="690">
        <f>SUM(D296:D314)</f>
        <v>0</v>
      </c>
      <c r="E315" s="690">
        <f>SUM(E296:E314)</f>
        <v>0</v>
      </c>
      <c r="F315" s="690">
        <f>SUM(F296:F314)</f>
        <v>0</v>
      </c>
      <c r="G315" s="690">
        <f>SUM(G296:G314)</f>
        <v>0</v>
      </c>
      <c r="H315" s="691">
        <f>SUM(H296:H314)</f>
        <v>0</v>
      </c>
      <c r="I315" s="1782">
        <f>SUM(I296:J314)</f>
        <v>0</v>
      </c>
      <c r="J315" s="1607"/>
      <c r="K315" s="700"/>
      <c r="L315" s="701"/>
      <c r="M315" s="702"/>
      <c r="N315" s="6"/>
      <c r="O315" s="6"/>
      <c r="P315" s="6"/>
      <c r="Q315" s="6"/>
      <c r="R315" s="6"/>
      <c r="S315" s="6"/>
      <c r="T315" s="6"/>
      <c r="U315" s="6"/>
    </row>
    <row r="316" spans="1:21" ht="16.5" thickBot="1" x14ac:dyDescent="0.3">
      <c r="A316" s="554">
        <v>20</v>
      </c>
      <c r="B316" s="1525" t="s">
        <v>21</v>
      </c>
      <c r="C316" s="1525"/>
      <c r="D316" s="692"/>
      <c r="E316" s="692"/>
      <c r="F316" s="693">
        <f>H333</f>
        <v>0</v>
      </c>
      <c r="G316" s="692"/>
      <c r="H316" s="692"/>
      <c r="I316" s="1526">
        <f>I333</f>
        <v>0</v>
      </c>
      <c r="J316" s="1605"/>
      <c r="K316" s="703"/>
      <c r="L316" s="704"/>
      <c r="M316" s="705"/>
      <c r="N316" s="6"/>
      <c r="O316" s="6"/>
      <c r="P316" s="6"/>
      <c r="Q316" s="6"/>
      <c r="R316" s="6"/>
      <c r="S316" s="6"/>
      <c r="T316" s="6"/>
      <c r="U316" s="6"/>
    </row>
    <row r="317" spans="1:21" ht="16.5" thickBot="1" x14ac:dyDescent="0.3">
      <c r="A317" s="553"/>
      <c r="B317" s="1520" t="s">
        <v>22</v>
      </c>
      <c r="C317" s="1520"/>
      <c r="D317" s="683">
        <f t="shared" ref="D317:I317" si="6">D315+D316</f>
        <v>0</v>
      </c>
      <c r="E317" s="683">
        <f t="shared" si="6"/>
        <v>0</v>
      </c>
      <c r="F317" s="683">
        <f t="shared" si="6"/>
        <v>0</v>
      </c>
      <c r="G317" s="683">
        <f t="shared" si="6"/>
        <v>0</v>
      </c>
      <c r="H317" s="686">
        <f t="shared" si="6"/>
        <v>0</v>
      </c>
      <c r="I317" s="1606">
        <f t="shared" si="6"/>
        <v>0</v>
      </c>
      <c r="J317" s="1607"/>
      <c r="K317" s="700"/>
      <c r="L317" s="701"/>
      <c r="M317" s="702"/>
      <c r="N317" s="6"/>
      <c r="O317" s="6"/>
      <c r="P317" s="6"/>
      <c r="Q317" s="6"/>
      <c r="R317" s="6"/>
      <c r="S317" s="6"/>
      <c r="T317" s="6"/>
      <c r="U317" s="6"/>
    </row>
    <row r="318" spans="1:21" x14ac:dyDescent="0.25">
      <c r="N318" s="6"/>
      <c r="O318" s="6"/>
      <c r="P318" s="6"/>
      <c r="Q318" s="6"/>
      <c r="R318" s="6"/>
      <c r="S318" s="6"/>
      <c r="T318" s="6"/>
      <c r="U318" s="6"/>
    </row>
    <row r="319" spans="1:21" ht="15.75" thickBot="1" x14ac:dyDescent="0.3">
      <c r="N319" s="6"/>
      <c r="O319" s="6"/>
      <c r="P319" s="6"/>
      <c r="Q319" s="6"/>
      <c r="R319" s="6"/>
      <c r="S319" s="6"/>
      <c r="T319" s="6"/>
      <c r="U319" s="6"/>
    </row>
    <row r="320" spans="1:21" ht="33.75" customHeight="1" x14ac:dyDescent="0.25">
      <c r="A320" s="1767" t="s">
        <v>779</v>
      </c>
      <c r="B320" s="1768"/>
      <c r="C320" s="1768"/>
      <c r="D320" s="1768"/>
      <c r="E320" s="1768"/>
      <c r="F320" s="1768"/>
      <c r="G320" s="1768"/>
      <c r="H320" s="1768"/>
      <c r="I320" s="1769" t="s">
        <v>39</v>
      </c>
      <c r="J320" s="1770"/>
      <c r="K320" s="1770"/>
      <c r="L320" s="1770"/>
      <c r="M320" s="1771"/>
      <c r="N320" s="6"/>
      <c r="O320" s="6"/>
      <c r="P320" s="6"/>
      <c r="Q320" s="6"/>
      <c r="R320" s="6"/>
      <c r="S320" s="6"/>
      <c r="T320" s="6"/>
      <c r="U320" s="6"/>
    </row>
    <row r="321" spans="1:21" ht="15" customHeight="1" x14ac:dyDescent="0.25">
      <c r="A321" s="496"/>
      <c r="B321" s="497"/>
      <c r="C321" s="10"/>
      <c r="D321" s="10"/>
      <c r="E321" s="10"/>
      <c r="F321" s="10"/>
      <c r="G321" s="10"/>
      <c r="H321" s="10"/>
      <c r="I321" s="1772" t="s">
        <v>830</v>
      </c>
      <c r="J321" s="1773"/>
      <c r="K321" s="1773"/>
      <c r="L321" s="1773"/>
      <c r="M321" s="1774"/>
      <c r="N321" s="6"/>
      <c r="O321" s="6"/>
      <c r="P321" s="6"/>
      <c r="Q321" s="6"/>
      <c r="R321" s="6"/>
      <c r="S321" s="6"/>
      <c r="T321" s="6"/>
      <c r="U321" s="6"/>
    </row>
    <row r="322" spans="1:21" ht="47.25" x14ac:dyDescent="0.25">
      <c r="A322" s="159" t="s">
        <v>195</v>
      </c>
      <c r="B322" s="1538" t="s">
        <v>196</v>
      </c>
      <c r="C322" s="1538"/>
      <c r="D322" s="878" t="s">
        <v>197</v>
      </c>
      <c r="E322" s="878" t="s">
        <v>198</v>
      </c>
      <c r="F322" s="1538" t="s">
        <v>804</v>
      </c>
      <c r="G322" s="1538"/>
      <c r="H322" s="582" t="s">
        <v>831</v>
      </c>
      <c r="I322" s="1775"/>
      <c r="J322" s="1776"/>
      <c r="K322" s="1776"/>
      <c r="L322" s="1776"/>
      <c r="M322" s="1777"/>
      <c r="N322" s="6"/>
      <c r="O322" s="6"/>
      <c r="P322" s="6"/>
      <c r="Q322" s="6"/>
      <c r="R322" s="6"/>
      <c r="S322" s="6"/>
      <c r="T322" s="6"/>
      <c r="U322" s="6"/>
    </row>
    <row r="323" spans="1:21" ht="57.75" customHeight="1" x14ac:dyDescent="0.25">
      <c r="A323" s="847">
        <v>1</v>
      </c>
      <c r="B323" s="1745"/>
      <c r="C323" s="1746"/>
      <c r="D323" s="581"/>
      <c r="E323" s="581"/>
      <c r="F323" s="1747"/>
      <c r="G323" s="1748"/>
      <c r="H323" s="684"/>
      <c r="I323" s="1778"/>
      <c r="J323" s="1779"/>
      <c r="K323" s="1779"/>
      <c r="L323" s="1779"/>
      <c r="M323" s="1780"/>
      <c r="N323" s="6"/>
      <c r="O323" s="6"/>
      <c r="P323" s="6"/>
      <c r="Q323" s="6"/>
      <c r="R323" s="6"/>
      <c r="S323" s="6"/>
      <c r="T323" s="6"/>
      <c r="U323" s="6"/>
    </row>
    <row r="324" spans="1:21" ht="57.75" customHeight="1" x14ac:dyDescent="0.25">
      <c r="A324" s="847">
        <v>2</v>
      </c>
      <c r="B324" s="1745"/>
      <c r="C324" s="1746"/>
      <c r="D324" s="581"/>
      <c r="E324" s="581"/>
      <c r="F324" s="1747"/>
      <c r="G324" s="1748"/>
      <c r="H324" s="684"/>
      <c r="I324" s="1778"/>
      <c r="J324" s="1779"/>
      <c r="K324" s="1779"/>
      <c r="L324" s="1779"/>
      <c r="M324" s="1780"/>
      <c r="N324" s="6"/>
      <c r="O324" s="6"/>
      <c r="P324" s="6"/>
      <c r="Q324" s="6"/>
      <c r="R324" s="6"/>
      <c r="S324" s="6"/>
      <c r="T324" s="6"/>
      <c r="U324" s="6"/>
    </row>
    <row r="325" spans="1:21" ht="57.75" customHeight="1" x14ac:dyDescent="0.25">
      <c r="A325" s="847">
        <v>3</v>
      </c>
      <c r="B325" s="1745"/>
      <c r="C325" s="1746"/>
      <c r="D325" s="581"/>
      <c r="E325" s="581"/>
      <c r="F325" s="1747"/>
      <c r="G325" s="1748"/>
      <c r="H325" s="684"/>
      <c r="I325" s="1778"/>
      <c r="J325" s="1779"/>
      <c r="K325" s="1779"/>
      <c r="L325" s="1779"/>
      <c r="M325" s="1780"/>
      <c r="N325" s="6"/>
      <c r="O325" s="6"/>
      <c r="P325" s="6"/>
      <c r="Q325" s="6"/>
      <c r="R325" s="6"/>
      <c r="S325" s="6"/>
      <c r="T325" s="6"/>
      <c r="U325" s="6"/>
    </row>
    <row r="326" spans="1:21" ht="57.75" customHeight="1" x14ac:dyDescent="0.25">
      <c r="A326" s="847">
        <v>4</v>
      </c>
      <c r="B326" s="1745"/>
      <c r="C326" s="1746"/>
      <c r="D326" s="581"/>
      <c r="E326" s="581"/>
      <c r="F326" s="1747"/>
      <c r="G326" s="1748"/>
      <c r="H326" s="684"/>
      <c r="I326" s="1778"/>
      <c r="J326" s="1779"/>
      <c r="K326" s="1779"/>
      <c r="L326" s="1779"/>
      <c r="M326" s="1780"/>
      <c r="N326" s="6"/>
      <c r="O326" s="6"/>
      <c r="P326" s="6"/>
      <c r="Q326" s="6"/>
      <c r="R326" s="6"/>
      <c r="S326" s="6"/>
      <c r="T326" s="6"/>
      <c r="U326" s="6"/>
    </row>
    <row r="327" spans="1:21" ht="57.75" customHeight="1" x14ac:dyDescent="0.25">
      <c r="A327" s="847">
        <v>5</v>
      </c>
      <c r="B327" s="1745"/>
      <c r="C327" s="1746"/>
      <c r="D327" s="581"/>
      <c r="E327" s="581"/>
      <c r="F327" s="1747"/>
      <c r="G327" s="1748"/>
      <c r="H327" s="684"/>
      <c r="I327" s="1778"/>
      <c r="J327" s="1779"/>
      <c r="K327" s="1779"/>
      <c r="L327" s="1779"/>
      <c r="M327" s="1780"/>
      <c r="N327" s="6"/>
      <c r="O327" s="6"/>
      <c r="P327" s="6"/>
      <c r="Q327" s="6"/>
      <c r="R327" s="6"/>
      <c r="S327" s="6"/>
      <c r="T327" s="6"/>
      <c r="U327" s="6"/>
    </row>
    <row r="328" spans="1:21" ht="57.75" customHeight="1" x14ac:dyDescent="0.25">
      <c r="A328" s="847">
        <v>6</v>
      </c>
      <c r="B328" s="1745"/>
      <c r="C328" s="1746"/>
      <c r="D328" s="581"/>
      <c r="E328" s="581"/>
      <c r="F328" s="1747"/>
      <c r="G328" s="1748"/>
      <c r="H328" s="684"/>
      <c r="I328" s="1778"/>
      <c r="J328" s="1779"/>
      <c r="K328" s="1779"/>
      <c r="L328" s="1779"/>
      <c r="M328" s="1780"/>
      <c r="N328" s="6"/>
      <c r="O328" s="6"/>
      <c r="P328" s="6"/>
      <c r="Q328" s="6"/>
      <c r="R328" s="6"/>
      <c r="S328" s="6"/>
      <c r="T328" s="6"/>
      <c r="U328" s="6"/>
    </row>
    <row r="329" spans="1:21" ht="57.75" customHeight="1" x14ac:dyDescent="0.25">
      <c r="A329" s="847">
        <v>7</v>
      </c>
      <c r="B329" s="1745"/>
      <c r="C329" s="1746"/>
      <c r="D329" s="581"/>
      <c r="E329" s="581"/>
      <c r="F329" s="1747"/>
      <c r="G329" s="1748"/>
      <c r="H329" s="684"/>
      <c r="I329" s="1778"/>
      <c r="J329" s="1779"/>
      <c r="K329" s="1779"/>
      <c r="L329" s="1779"/>
      <c r="M329" s="1780"/>
      <c r="N329" s="6"/>
      <c r="O329" s="6"/>
      <c r="P329" s="6"/>
      <c r="Q329" s="6"/>
      <c r="R329" s="6"/>
      <c r="S329" s="6"/>
      <c r="T329" s="6"/>
      <c r="U329" s="6"/>
    </row>
    <row r="330" spans="1:21" ht="57.75" customHeight="1" x14ac:dyDescent="0.25">
      <c r="A330" s="847">
        <v>8</v>
      </c>
      <c r="B330" s="1745"/>
      <c r="C330" s="1746"/>
      <c r="D330" s="581"/>
      <c r="E330" s="581"/>
      <c r="F330" s="1747"/>
      <c r="G330" s="1748"/>
      <c r="H330" s="684"/>
      <c r="I330" s="1778"/>
      <c r="J330" s="1779"/>
      <c r="K330" s="1779"/>
      <c r="L330" s="1779"/>
      <c r="M330" s="1780"/>
      <c r="N330" s="6"/>
      <c r="O330" s="6"/>
      <c r="P330" s="6"/>
      <c r="Q330" s="6"/>
      <c r="R330" s="6"/>
      <c r="S330" s="6"/>
      <c r="T330" s="6"/>
      <c r="U330" s="6"/>
    </row>
    <row r="331" spans="1:21" ht="57.75" customHeight="1" x14ac:dyDescent="0.25">
      <c r="A331" s="847">
        <v>9</v>
      </c>
      <c r="B331" s="1745"/>
      <c r="C331" s="1746"/>
      <c r="D331" s="581"/>
      <c r="E331" s="581"/>
      <c r="F331" s="1747"/>
      <c r="G331" s="1748"/>
      <c r="H331" s="684"/>
      <c r="I331" s="1778"/>
      <c r="J331" s="1779"/>
      <c r="K331" s="1779"/>
      <c r="L331" s="1779"/>
      <c r="M331" s="1780"/>
      <c r="N331" s="6"/>
      <c r="O331" s="6"/>
      <c r="P331" s="6"/>
      <c r="Q331" s="6"/>
      <c r="R331" s="6"/>
      <c r="S331" s="6"/>
      <c r="T331" s="6"/>
      <c r="U331" s="6"/>
    </row>
    <row r="332" spans="1:21" ht="57.75" customHeight="1" thickBot="1" x14ac:dyDescent="0.3">
      <c r="A332" s="731">
        <v>10</v>
      </c>
      <c r="B332" s="1274"/>
      <c r="C332" s="1267"/>
      <c r="D332" s="732"/>
      <c r="E332" s="732"/>
      <c r="F332" s="1749"/>
      <c r="G332" s="1750"/>
      <c r="H332" s="733"/>
      <c r="I332" s="1916"/>
      <c r="J332" s="1275"/>
      <c r="K332" s="1275"/>
      <c r="L332" s="1275"/>
      <c r="M332" s="1276"/>
      <c r="N332" s="6"/>
      <c r="O332" s="6"/>
      <c r="P332" s="6"/>
      <c r="Q332" s="6"/>
      <c r="R332" s="6"/>
      <c r="S332" s="6"/>
      <c r="T332" s="6"/>
      <c r="U332" s="6"/>
    </row>
    <row r="333" spans="1:21" ht="57.75" customHeight="1" thickBot="1" x14ac:dyDescent="0.3">
      <c r="A333" s="1753" t="s">
        <v>2</v>
      </c>
      <c r="B333" s="1754"/>
      <c r="C333" s="1754"/>
      <c r="D333" s="1754"/>
      <c r="E333" s="1755"/>
      <c r="F333" s="1751">
        <f>SUM(F323:G332)</f>
        <v>0</v>
      </c>
      <c r="G333" s="1752"/>
      <c r="H333" s="734">
        <f>SUM(H323:H332)</f>
        <v>0</v>
      </c>
      <c r="I333" s="1917"/>
      <c r="J333" s="1918"/>
      <c r="K333" s="1918"/>
      <c r="L333" s="1918"/>
      <c r="M333" s="1919"/>
      <c r="N333" s="6"/>
      <c r="O333" s="6"/>
      <c r="P333" s="6"/>
      <c r="Q333" s="6"/>
      <c r="R333" s="6"/>
      <c r="S333" s="6"/>
      <c r="T333" s="6"/>
      <c r="U333" s="6"/>
    </row>
    <row r="334" spans="1:21" x14ac:dyDescent="0.25">
      <c r="O334" s="6"/>
      <c r="P334" s="6"/>
      <c r="Q334" s="6"/>
      <c r="R334" s="6"/>
      <c r="S334" s="6"/>
      <c r="T334" s="6"/>
      <c r="U334" s="6"/>
    </row>
    <row r="335" spans="1:21" x14ac:dyDescent="0.25">
      <c r="O335" s="6"/>
      <c r="P335" s="6"/>
      <c r="Q335" s="6"/>
      <c r="R335" s="6"/>
      <c r="S335" s="6"/>
      <c r="T335" s="6"/>
      <c r="U335" s="6"/>
    </row>
    <row r="336" spans="1:21" x14ac:dyDescent="0.25">
      <c r="O336" s="6"/>
      <c r="P336" s="6"/>
      <c r="Q336" s="6"/>
      <c r="R336" s="6"/>
      <c r="S336" s="6"/>
      <c r="T336" s="6"/>
      <c r="U336" s="6"/>
    </row>
    <row r="337" spans="15:21" x14ac:dyDescent="0.25">
      <c r="O337" s="6"/>
      <c r="P337" s="6"/>
      <c r="Q337" s="6"/>
      <c r="R337" s="6"/>
      <c r="S337" s="6"/>
      <c r="T337" s="6"/>
      <c r="U337" s="6"/>
    </row>
    <row r="338" spans="15:21" x14ac:dyDescent="0.25">
      <c r="O338" s="6"/>
      <c r="P338" s="6"/>
      <c r="Q338" s="6"/>
      <c r="R338" s="6"/>
      <c r="S338" s="6"/>
      <c r="T338" s="6"/>
      <c r="U338" s="6"/>
    </row>
    <row r="339" spans="15:21" x14ac:dyDescent="0.25">
      <c r="O339" s="6"/>
      <c r="P339" s="6"/>
      <c r="Q339" s="6"/>
      <c r="R339" s="6"/>
      <c r="S339" s="6"/>
      <c r="T339" s="6"/>
      <c r="U339" s="6"/>
    </row>
    <row r="340" spans="15:21" x14ac:dyDescent="0.25">
      <c r="O340" s="6"/>
      <c r="P340" s="6"/>
      <c r="Q340" s="6"/>
      <c r="R340" s="6"/>
      <c r="S340" s="6"/>
      <c r="T340" s="6"/>
      <c r="U340" s="6"/>
    </row>
    <row r="341" spans="15:21" x14ac:dyDescent="0.25">
      <c r="O341" s="6"/>
      <c r="P341" s="6"/>
      <c r="Q341" s="6"/>
      <c r="R341" s="6"/>
      <c r="S341" s="6"/>
      <c r="T341" s="6"/>
      <c r="U341" s="6"/>
    </row>
    <row r="342" spans="15:21" x14ac:dyDescent="0.25">
      <c r="O342" s="6"/>
      <c r="P342" s="6"/>
      <c r="Q342" s="6"/>
      <c r="R342" s="6"/>
      <c r="S342" s="6"/>
      <c r="T342" s="6"/>
      <c r="U342" s="6"/>
    </row>
    <row r="343" spans="15:21" x14ac:dyDescent="0.25">
      <c r="O343" s="6"/>
      <c r="P343" s="6"/>
      <c r="Q343" s="6"/>
      <c r="R343" s="6"/>
      <c r="S343" s="6"/>
      <c r="T343" s="6"/>
      <c r="U343" s="6"/>
    </row>
    <row r="344" spans="15:21" x14ac:dyDescent="0.25">
      <c r="O344" s="6"/>
      <c r="P344" s="6"/>
      <c r="Q344" s="6"/>
      <c r="R344" s="6"/>
      <c r="S344" s="6"/>
      <c r="T344" s="6"/>
      <c r="U344" s="6"/>
    </row>
    <row r="345" spans="15:21" x14ac:dyDescent="0.25">
      <c r="O345" s="6"/>
      <c r="P345" s="6"/>
      <c r="Q345" s="6"/>
      <c r="R345" s="6"/>
      <c r="S345" s="6"/>
      <c r="T345" s="6"/>
      <c r="U345" s="6"/>
    </row>
    <row r="346" spans="15:21" x14ac:dyDescent="0.25">
      <c r="O346" s="6"/>
      <c r="P346" s="6"/>
      <c r="Q346" s="6"/>
      <c r="R346" s="6"/>
      <c r="S346" s="6"/>
      <c r="T346" s="6"/>
      <c r="U346" s="6"/>
    </row>
    <row r="347" spans="15:21" x14ac:dyDescent="0.25">
      <c r="O347" s="6"/>
      <c r="P347" s="6"/>
      <c r="Q347" s="6"/>
      <c r="R347" s="6"/>
      <c r="S347" s="6"/>
      <c r="T347" s="6"/>
      <c r="U347" s="6"/>
    </row>
    <row r="348" spans="15:21" x14ac:dyDescent="0.25">
      <c r="O348" s="6"/>
      <c r="P348" s="6"/>
      <c r="Q348" s="6"/>
      <c r="R348" s="6"/>
      <c r="S348" s="6"/>
      <c r="T348" s="6"/>
      <c r="U348" s="6"/>
    </row>
    <row r="349" spans="15:21" x14ac:dyDescent="0.25">
      <c r="O349" s="6"/>
      <c r="P349" s="6"/>
      <c r="Q349" s="6"/>
      <c r="R349" s="6"/>
      <c r="S349" s="6"/>
      <c r="T349" s="6"/>
      <c r="U349" s="6"/>
    </row>
    <row r="350" spans="15:21" x14ac:dyDescent="0.25">
      <c r="O350" s="6"/>
      <c r="P350" s="6"/>
      <c r="Q350" s="6"/>
      <c r="R350" s="6"/>
      <c r="S350" s="6"/>
      <c r="T350" s="6"/>
      <c r="U350" s="6"/>
    </row>
    <row r="351" spans="15:21" x14ac:dyDescent="0.25">
      <c r="O351" s="6"/>
      <c r="P351" s="6"/>
      <c r="Q351" s="6"/>
      <c r="R351" s="6"/>
      <c r="S351" s="6"/>
      <c r="T351" s="6"/>
      <c r="U351" s="6"/>
    </row>
    <row r="352" spans="15:21" x14ac:dyDescent="0.25">
      <c r="O352" s="6"/>
      <c r="P352" s="6"/>
      <c r="Q352" s="6"/>
      <c r="R352" s="6"/>
      <c r="S352" s="6"/>
      <c r="T352" s="6"/>
      <c r="U352" s="6"/>
    </row>
    <row r="353" spans="15:21" x14ac:dyDescent="0.25">
      <c r="O353" s="6"/>
      <c r="P353" s="6"/>
      <c r="Q353" s="6"/>
      <c r="R353" s="6"/>
      <c r="S353" s="6"/>
      <c r="T353" s="6"/>
      <c r="U353" s="6"/>
    </row>
    <row r="354" spans="15:21" x14ac:dyDescent="0.25">
      <c r="O354" s="6"/>
      <c r="P354" s="6"/>
      <c r="Q354" s="6"/>
      <c r="R354" s="6"/>
      <c r="S354" s="6"/>
      <c r="T354" s="6"/>
      <c r="U354" s="6"/>
    </row>
    <row r="355" spans="15:21" x14ac:dyDescent="0.25">
      <c r="O355" s="6"/>
      <c r="P355" s="6"/>
      <c r="Q355" s="6"/>
      <c r="R355" s="6"/>
      <c r="S355" s="6"/>
      <c r="T355" s="6"/>
      <c r="U355" s="6"/>
    </row>
    <row r="356" spans="15:21" x14ac:dyDescent="0.25">
      <c r="O356" s="6"/>
      <c r="P356" s="6"/>
      <c r="Q356" s="6"/>
      <c r="R356" s="6"/>
      <c r="S356" s="6"/>
      <c r="T356" s="6"/>
      <c r="U356" s="6"/>
    </row>
    <row r="357" spans="15:21" x14ac:dyDescent="0.25">
      <c r="O357" s="6"/>
      <c r="P357" s="6"/>
      <c r="Q357" s="6"/>
      <c r="R357" s="6"/>
      <c r="S357" s="6"/>
      <c r="T357" s="6"/>
      <c r="U357" s="6"/>
    </row>
    <row r="358" spans="15:21" x14ac:dyDescent="0.25">
      <c r="O358" s="6"/>
      <c r="P358" s="6"/>
      <c r="Q358" s="6"/>
      <c r="R358" s="6"/>
      <c r="S358" s="6"/>
      <c r="T358" s="6"/>
      <c r="U358" s="6"/>
    </row>
    <row r="359" spans="15:21" x14ac:dyDescent="0.25">
      <c r="O359" s="6"/>
      <c r="P359" s="6"/>
      <c r="Q359" s="6"/>
      <c r="R359" s="6"/>
      <c r="S359" s="6"/>
      <c r="T359" s="6"/>
      <c r="U359" s="6"/>
    </row>
    <row r="1048523" spans="1:21" x14ac:dyDescent="0.25">
      <c r="B1048523" s="71"/>
      <c r="C1048523" s="6"/>
      <c r="D1048523" s="6"/>
      <c r="E1048523" s="6"/>
      <c r="F1048523" s="6"/>
      <c r="G1048523" s="6"/>
      <c r="H1048523" s="6"/>
      <c r="I1048523" s="6"/>
      <c r="J1048523" s="6"/>
      <c r="K1048523" s="6"/>
      <c r="L1048523" s="6"/>
      <c r="M1048523" s="6"/>
      <c r="N1048523" s="6"/>
      <c r="O1048523" s="6"/>
      <c r="P1048523" s="6"/>
      <c r="Q1048523" s="6"/>
      <c r="R1048523" s="6"/>
      <c r="S1048523" s="6"/>
      <c r="T1048523" s="6"/>
      <c r="U1048523" s="6"/>
    </row>
    <row r="1048524" spans="1:21" x14ac:dyDescent="0.25">
      <c r="A1048524" s="70" t="s">
        <v>780</v>
      </c>
      <c r="B1048524" s="71"/>
      <c r="C1048524" s="6"/>
      <c r="D1048524" s="6"/>
      <c r="E1048524" s="6"/>
      <c r="F1048524" s="6"/>
      <c r="G1048524" s="6"/>
      <c r="H1048524" s="6"/>
      <c r="I1048524" s="6"/>
      <c r="J1048524" s="6"/>
      <c r="K1048524" s="6"/>
      <c r="L1048524" s="6"/>
      <c r="M1048524" s="6"/>
      <c r="N1048524" s="6"/>
      <c r="O1048524" s="6"/>
      <c r="P1048524" s="6"/>
      <c r="Q1048524" s="6"/>
      <c r="R1048524" s="6"/>
      <c r="S1048524" s="6"/>
      <c r="T1048524" s="6"/>
      <c r="U1048524" s="6"/>
    </row>
    <row r="1048525" spans="1:21" x14ac:dyDescent="0.25">
      <c r="A1048525" s="169" t="s">
        <v>781</v>
      </c>
      <c r="B1048525" s="169"/>
      <c r="C1048525" s="166"/>
      <c r="E1048525" s="166" t="s">
        <v>205</v>
      </c>
      <c r="G1048525" s="166" t="s">
        <v>782</v>
      </c>
      <c r="P1048525" s="6"/>
      <c r="Q1048525" s="6"/>
      <c r="R1048525" s="6"/>
      <c r="S1048525" s="6"/>
      <c r="T1048525" s="6"/>
      <c r="U1048525" s="6"/>
    </row>
    <row r="1048526" spans="1:21" x14ac:dyDescent="0.25">
      <c r="A1048526" s="169">
        <f>COUNTA(H4)</f>
        <v>0</v>
      </c>
      <c r="B1048526" s="169"/>
      <c r="C1048526" s="166"/>
      <c r="E1048526" s="166">
        <f>COUNTIF(H222,"Yes")</f>
        <v>0</v>
      </c>
      <c r="G1048526" s="555">
        <f>COUNTIFS(F4,"A",B5,"Urban")</f>
        <v>0</v>
      </c>
      <c r="P1048526" s="6"/>
      <c r="Q1048526" s="6"/>
      <c r="R1048526" s="6"/>
      <c r="S1048526" s="6"/>
      <c r="T1048526" s="6"/>
      <c r="U1048526" s="6"/>
    </row>
    <row r="1048527" spans="1:21" x14ac:dyDescent="0.25">
      <c r="A1048527" s="169">
        <f>1*COUNTIF(F4,"A")</f>
        <v>0</v>
      </c>
      <c r="B1048527" s="169">
        <f>COUNTIF(F4,"B")</f>
        <v>0</v>
      </c>
      <c r="C1048527" s="166">
        <f>COUNTIF(F4,"C")</f>
        <v>1</v>
      </c>
      <c r="E1048527" s="166">
        <f>COUNTIFS(H222,"Yes",H223,"Yes")</f>
        <v>0</v>
      </c>
      <c r="P1048527" s="6"/>
      <c r="Q1048527" s="6"/>
      <c r="R1048527" s="6"/>
      <c r="S1048527" s="6"/>
      <c r="T1048527" s="6"/>
      <c r="U1048527" s="6"/>
    </row>
    <row r="1048528" spans="1:21" x14ac:dyDescent="0.25">
      <c r="A1048528" s="556">
        <f>COUNTIF(B5,"Rural")</f>
        <v>0</v>
      </c>
      <c r="B1048528" s="556">
        <f>COUNTIF(B5,"Urban")</f>
        <v>0</v>
      </c>
      <c r="C1048528" s="557">
        <f>COUNTIF(B5,"Tribal")</f>
        <v>0</v>
      </c>
      <c r="P1048528" s="6"/>
      <c r="Q1048528" s="6"/>
      <c r="R1048528" s="6"/>
      <c r="S1048528" s="6"/>
      <c r="T1048528" s="6"/>
      <c r="U1048528" s="6"/>
    </row>
    <row r="1048529" spans="1:21" x14ac:dyDescent="0.25">
      <c r="A1048529" s="169">
        <f>COUNTIF(H21,"No")</f>
        <v>0</v>
      </c>
      <c r="B1048529" s="169"/>
      <c r="C1048529" s="166"/>
      <c r="P1048529" s="6"/>
      <c r="Q1048529" s="6"/>
      <c r="R1048529" s="6"/>
      <c r="S1048529" s="6"/>
      <c r="T1048529" s="6"/>
      <c r="U1048529" s="6"/>
    </row>
    <row r="1048530" spans="1:21" x14ac:dyDescent="0.25">
      <c r="P1048530" s="6"/>
      <c r="Q1048530" s="6"/>
      <c r="R1048530" s="6"/>
      <c r="S1048530" s="6"/>
      <c r="T1048530" s="6"/>
      <c r="U1048530" s="6"/>
    </row>
    <row r="1048531" spans="1:21" x14ac:dyDescent="0.25">
      <c r="A1048531" s="169" t="s">
        <v>783</v>
      </c>
      <c r="B1048531" s="169"/>
      <c r="C1048531" s="166"/>
      <c r="D1048531" s="166"/>
      <c r="E1048531" s="166"/>
      <c r="F1048531" s="166"/>
      <c r="G1048531" s="166"/>
      <c r="I1048531" s="166" t="s">
        <v>784</v>
      </c>
      <c r="J1048531" s="166"/>
      <c r="K1048531" s="166"/>
      <c r="L1048531" s="166"/>
      <c r="M1048531" s="166"/>
      <c r="N1048531" s="166"/>
      <c r="O1048531" s="166"/>
      <c r="P1048531" s="6"/>
      <c r="Q1048531" s="6"/>
      <c r="R1048531" s="6"/>
      <c r="S1048531" s="6"/>
      <c r="T1048531" s="6"/>
      <c r="U1048531" s="6"/>
    </row>
    <row r="1048532" spans="1:21" ht="30" x14ac:dyDescent="0.25">
      <c r="A1048532" s="169" t="s">
        <v>51</v>
      </c>
      <c r="B1048532" s="169" t="s">
        <v>52</v>
      </c>
      <c r="C1048532" s="169" t="s">
        <v>53</v>
      </c>
      <c r="D1048532" s="169" t="s">
        <v>54</v>
      </c>
      <c r="E1048532" s="556" t="s">
        <v>55</v>
      </c>
      <c r="F1048532" s="556" t="s">
        <v>56</v>
      </c>
      <c r="G1048532" s="556" t="s">
        <v>57</v>
      </c>
      <c r="I1048532" s="169" t="s">
        <v>51</v>
      </c>
      <c r="J1048532" s="169" t="s">
        <v>52</v>
      </c>
      <c r="K1048532" s="169" t="s">
        <v>53</v>
      </c>
      <c r="L1048532" s="169" t="s">
        <v>54</v>
      </c>
      <c r="M1048532" s="556" t="s">
        <v>55</v>
      </c>
      <c r="N1048532" s="556" t="s">
        <v>56</v>
      </c>
      <c r="O1048532" s="556" t="s">
        <v>57</v>
      </c>
      <c r="P1048532" s="6"/>
      <c r="Q1048532" s="6"/>
      <c r="R1048532" s="6"/>
      <c r="S1048532" s="6"/>
      <c r="T1048532" s="6"/>
      <c r="U1048532" s="6"/>
    </row>
    <row r="1048533" spans="1:21" x14ac:dyDescent="0.25">
      <c r="A1048533" s="169">
        <f>COUNTIFS($B$40:$B$42,"Solid",$D$40:$D$42,"1")</f>
        <v>0</v>
      </c>
      <c r="B1048533" s="169">
        <f>COUNTIFS($B$40:$B$42,"LPA",$D$40:$D$42,"1")</f>
        <v>0</v>
      </c>
      <c r="C1048533" s="166">
        <f>COUNTIFS($B$40:$B$42,"Liquid",$D$40:$D$42,"1")</f>
        <v>0</v>
      </c>
      <c r="D1048533" s="166">
        <f>COUNTIFS($B$40:$B$42,"Solid+LPA",$D$40:$D$42,"1")</f>
        <v>0</v>
      </c>
      <c r="E1048533" s="166">
        <f>COUNTIFS($B$40:$B$42,"Liquid+LPA",$D$40:$D$42,"1")</f>
        <v>0</v>
      </c>
      <c r="F1048533" s="166">
        <f>COUNTIFS($B$40:$B$42,"Solid+Liquid",$D$40:$D$42,"1")</f>
        <v>0</v>
      </c>
      <c r="G1048533" s="166">
        <f>COUNTIFS($B$40:$B$42,"Solid+Liquid+LPA",$D$40:$D$42,"1")</f>
        <v>0</v>
      </c>
      <c r="I1048533" s="166" t="e">
        <f>COUNTIFS(#REF!,"Solid",#REF!,"1")</f>
        <v>#REF!</v>
      </c>
      <c r="J1048533" s="166" t="e">
        <f>COUNTIFS(#REF!,"LPA",#REF!,"1")</f>
        <v>#REF!</v>
      </c>
      <c r="K1048533" s="166" t="e">
        <f>COUNTIFS(#REF!,"Liquid",#REF!,"1")</f>
        <v>#REF!</v>
      </c>
      <c r="L1048533" s="166" t="e">
        <f>COUNTIFS(#REF!,"Solid+LPA",#REF!,"1")</f>
        <v>#REF!</v>
      </c>
      <c r="M1048533" s="166" t="e">
        <f>COUNTIFS(#REF!,"Liquid+LPA",#REF!,"1")</f>
        <v>#REF!</v>
      </c>
      <c r="N1048533" s="166" t="e">
        <f>COUNTIFS(#REF!,"Solid+Liquid",#REF!,"1")</f>
        <v>#REF!</v>
      </c>
      <c r="O1048533" s="166" t="e">
        <f>COUNTIFS(#REF!,"Solid+Liquid+LPA",#REF!,"1")</f>
        <v>#REF!</v>
      </c>
      <c r="P1048533" s="6"/>
      <c r="Q1048533" s="6"/>
      <c r="R1048533" s="6"/>
      <c r="S1048533" s="6"/>
      <c r="T1048533" s="6"/>
      <c r="U1048533" s="6"/>
    </row>
    <row r="1048534" spans="1:21" x14ac:dyDescent="0.25">
      <c r="A1048534" s="169">
        <f>COUNTIFS($B$40:$B$42,"Solid",$E$40:$E$42,"1")</f>
        <v>0</v>
      </c>
      <c r="B1048534" s="169">
        <f>COUNTIFS($B$40:$B$42,"LPA",$E$40:$E$42,"1")</f>
        <v>0</v>
      </c>
      <c r="C1048534" s="166">
        <f>COUNTIFS($B$40:$B$42,"Liquid",$E$40:$E$42,"1")</f>
        <v>0</v>
      </c>
      <c r="D1048534" s="166">
        <f>COUNTIFS($B$40:$B$42,"Solid+LPA",$E$40:$E$42,"1")</f>
        <v>0</v>
      </c>
      <c r="E1048534" s="166">
        <f>COUNTIFS($B$40:$B$42,"Liquid+LPA",$E$40:$E$42,"1")</f>
        <v>0</v>
      </c>
      <c r="F1048534" s="166">
        <f>COUNTIFS($B$40:$B$42,"Solid+Liquid",$E$40:$E$42,"1")</f>
        <v>0</v>
      </c>
      <c r="G1048534" s="166">
        <f>COUNTIFS($B$40:$B$42,"Solid+Liquid+LPA",$E$40:$E$42,"1")</f>
        <v>0</v>
      </c>
      <c r="I1048534" s="166" t="e">
        <f>SUMIFS(#REF!,#REF!,"Solid")</f>
        <v>#REF!</v>
      </c>
      <c r="J1048534" s="166" t="e">
        <f>SUMIFS(#REF!,#REF!,"LPA")</f>
        <v>#REF!</v>
      </c>
      <c r="K1048534" s="166" t="e">
        <f>SUMIFS(#REF!,#REF!,"Liquid")</f>
        <v>#REF!</v>
      </c>
      <c r="L1048534" s="166" t="e">
        <f>SUMIFS(#REF!,#REF!,"Solid+LPA")</f>
        <v>#REF!</v>
      </c>
      <c r="M1048534" s="166" t="e">
        <f>SUMIFS(#REF!,#REF!,"Liquid+LPA")</f>
        <v>#REF!</v>
      </c>
      <c r="N1048534" s="166" t="e">
        <f>SUMIFS(#REF!,#REF!,"Solid+Liquid")</f>
        <v>#REF!</v>
      </c>
      <c r="O1048534" s="166" t="e">
        <f>SUMIFS(#REF!,#REF!,"Solid+Liquid+LPA")</f>
        <v>#REF!</v>
      </c>
      <c r="P1048534" s="6"/>
      <c r="Q1048534" s="6"/>
      <c r="R1048534" s="6"/>
      <c r="S1048534" s="6"/>
      <c r="T1048534" s="6"/>
      <c r="U1048534" s="6"/>
    </row>
    <row r="1048535" spans="1:21" x14ac:dyDescent="0.25">
      <c r="A1048535" s="169">
        <f>SUMIFS($F$40:$F$42,$B$40:$B$42,"Solid")</f>
        <v>0</v>
      </c>
      <c r="B1048535" s="169">
        <f>SUMIFS($F$40:$F$42,$B$40:$B$42,"LPA")</f>
        <v>0</v>
      </c>
      <c r="C1048535" s="166">
        <f>SUMIFS($F$40:$F$42,$B$40:$B$42,"Liquid")</f>
        <v>0</v>
      </c>
      <c r="D1048535" s="166">
        <f>SUMIFS($F$40:$F$42,$B$40:$B$42,"Solid+LPA")</f>
        <v>0</v>
      </c>
      <c r="E1048535" s="166">
        <f>SUMIFS($F$40:$F$42,$B$40:$B$42,"Liquid+LPA")</f>
        <v>0</v>
      </c>
      <c r="F1048535" s="166">
        <f>SUMIFS($F$40:$F$42,$B$40:$B$42,"Solid+Liquid")</f>
        <v>0</v>
      </c>
      <c r="G1048535" s="166">
        <f>SUMIFS($F$40:$F$42,$B$40:$B$42,"Solid+Liquid+LPA")</f>
        <v>0</v>
      </c>
      <c r="I1048535" s="166" t="e">
        <f>SUMIFS(#REF!,#REF!,"Solid")</f>
        <v>#REF!</v>
      </c>
      <c r="J1048535" s="166" t="e">
        <f>SUMIFS(#REF!,#REF!,"LPA")</f>
        <v>#REF!</v>
      </c>
      <c r="K1048535" s="166" t="e">
        <f>SUMIFS(#REF!,#REF!,"Liquid")</f>
        <v>#REF!</v>
      </c>
      <c r="L1048535" s="166" t="e">
        <f>SUMIFS(#REF!,#REF!,"Solid+LPA")</f>
        <v>#REF!</v>
      </c>
      <c r="M1048535" s="166" t="e">
        <f>SUMIFS(#REF!,#REF!,"Liquid+LPA")</f>
        <v>#REF!</v>
      </c>
      <c r="N1048535" s="166" t="e">
        <f>SUMIFS(#REF!,#REF!,"Solid+Liquid")</f>
        <v>#REF!</v>
      </c>
      <c r="O1048535" s="166" t="e">
        <f>SUMIFS(#REF!,#REF!,"Solid+Liquid+LPA")</f>
        <v>#REF!</v>
      </c>
      <c r="P1048535" s="6"/>
      <c r="Q1048535" s="6"/>
      <c r="R1048535" s="6"/>
      <c r="S1048535" s="6"/>
      <c r="T1048535" s="6"/>
      <c r="U1048535" s="6"/>
    </row>
    <row r="1048536" spans="1:21" x14ac:dyDescent="0.25">
      <c r="A1048536" s="169">
        <f>SUMIFS($G$40:$G$42,$B$40:$B$42,"Solid")</f>
        <v>0</v>
      </c>
      <c r="B1048536" s="169">
        <f>SUMIFS($G$40:$G$42,$B$40:$B$42,"LPA")</f>
        <v>0</v>
      </c>
      <c r="C1048536" s="166">
        <f>SUMIFS($G$40:$G$42,$B$40:$B$42,"Liquid")</f>
        <v>0</v>
      </c>
      <c r="D1048536" s="166">
        <f>SUMIFS($G$40:$G$42,$B$40:$B$42,"Solid+LPA")</f>
        <v>0</v>
      </c>
      <c r="E1048536" s="166">
        <f>SUMIFS($G$40:$G$42,$B$40:$B$42,"Liquid+LPA")</f>
        <v>0</v>
      </c>
      <c r="F1048536" s="166">
        <f>SUMIFS($G$40:$G$42,$B$40:$B$42,"Solid+Liquid")</f>
        <v>0</v>
      </c>
      <c r="G1048536" s="166">
        <f>SUMIFS($G$40:$G$42,$B$40:$B$42,"Solid+Liquid+LPA")</f>
        <v>0</v>
      </c>
      <c r="I1048536" s="166" t="e">
        <f>SUMIFS(#REF!,#REF!,"Solid")</f>
        <v>#REF!</v>
      </c>
      <c r="J1048536" s="166" t="e">
        <f>SUMIFS(#REF!,#REF!,"LPA")</f>
        <v>#REF!</v>
      </c>
      <c r="K1048536" s="166" t="e">
        <f>SUMIFS(#REF!,#REF!,"Liquid")</f>
        <v>#REF!</v>
      </c>
      <c r="L1048536" s="166" t="e">
        <f>SUMIFS(#REF!,#REF!,"Solid+LPA")</f>
        <v>#REF!</v>
      </c>
      <c r="M1048536" s="166" t="e">
        <f>SUMIFS(#REF!,#REF!,"Liquid+LPA")</f>
        <v>#REF!</v>
      </c>
      <c r="N1048536" s="166" t="e">
        <f>SUMIFS(#REF!,#REF!,"Solid+Liquid")</f>
        <v>#REF!</v>
      </c>
      <c r="O1048536" s="166" t="e">
        <f>SUMIFS(#REF!,#REF!,"Solid+Liquid+LPA")</f>
        <v>#REF!</v>
      </c>
      <c r="P1048536" s="6"/>
      <c r="Q1048536" s="6"/>
      <c r="R1048536" s="6"/>
      <c r="S1048536" s="6"/>
      <c r="T1048536" s="6"/>
      <c r="U1048536" s="6"/>
    </row>
    <row r="1048537" spans="1:21" x14ac:dyDescent="0.25">
      <c r="A1048537" s="169" t="e">
        <f>SUMIFS(#REF!,$B$40:$B$42,"Solid")</f>
        <v>#REF!</v>
      </c>
      <c r="B1048537" s="169" t="e">
        <f>SUMIFS(#REF!,$B$40:$B$42,"LPA")</f>
        <v>#REF!</v>
      </c>
      <c r="C1048537" s="166" t="e">
        <f>SUMIFS(#REF!,$B$40:$B$42,"Liquid")</f>
        <v>#REF!</v>
      </c>
      <c r="D1048537" s="166" t="e">
        <f>SUMIFS(#REF!,$B$40:$B$42,"Solid+LPA")</f>
        <v>#REF!</v>
      </c>
      <c r="E1048537" s="166" t="e">
        <f>SUMIFS(#REF!,$B$40:$B$42,"Liquid+LPA")</f>
        <v>#REF!</v>
      </c>
      <c r="F1048537" s="166" t="e">
        <f>SUMIFS(#REF!,$B$40:$B$42,"Solid+Liquid")</f>
        <v>#REF!</v>
      </c>
      <c r="G1048537" s="166" t="e">
        <f>SUMIFS(#REF!,$B$40:$B$42,"Solid+Liquid+LPA")</f>
        <v>#REF!</v>
      </c>
      <c r="I1048537" s="166" t="e">
        <f>SUMIFS(#REF!,#REF!,"Solid")</f>
        <v>#REF!</v>
      </c>
      <c r="J1048537" s="166" t="e">
        <f>SUMIFS(#REF!,#REF!,"LPA")</f>
        <v>#REF!</v>
      </c>
      <c r="K1048537" s="166" t="e">
        <f>SUMIFS(#REF!,#REF!,"Liquid")</f>
        <v>#REF!</v>
      </c>
      <c r="L1048537" s="166" t="e">
        <f>SUMIFS(#REF!,#REF!,"Solid+LPA")</f>
        <v>#REF!</v>
      </c>
      <c r="M1048537" s="166" t="e">
        <f>SUMIFS(#REF!,#REF!,"Liquid+LPA")</f>
        <v>#REF!</v>
      </c>
      <c r="N1048537" s="166" t="e">
        <f>SUMIFS(#REF!,#REF!,"Solid+Liquid")</f>
        <v>#REF!</v>
      </c>
      <c r="O1048537" s="166" t="e">
        <f>SUMIFS(#REF!,#REF!,"Solid+Liquid+LPA")</f>
        <v>#REF!</v>
      </c>
      <c r="P1048537" s="6"/>
      <c r="Q1048537" s="6"/>
      <c r="R1048537" s="6"/>
      <c r="S1048537" s="6"/>
      <c r="T1048537" s="6"/>
      <c r="U1048537" s="6"/>
    </row>
    <row r="1048538" spans="1:21" x14ac:dyDescent="0.25">
      <c r="I1048538" s="166" t="e">
        <f>SUMIFS(#REF!,#REF!,"Solid")</f>
        <v>#REF!</v>
      </c>
      <c r="J1048538" s="166" t="e">
        <f>SUMIFS(#REF!,#REF!,"LPA")</f>
        <v>#REF!</v>
      </c>
      <c r="K1048538" s="166" t="e">
        <f>SUMIFS(#REF!,#REF!,"Liquid")</f>
        <v>#REF!</v>
      </c>
      <c r="L1048538" s="166" t="e">
        <f>SUMIFS(#REF!,#REF!,"Solid+LPA")</f>
        <v>#REF!</v>
      </c>
      <c r="M1048538" s="166" t="e">
        <f>SUMIFS(#REF!,#REF!,"Liquid+LPA")</f>
        <v>#REF!</v>
      </c>
      <c r="N1048538" s="166" t="e">
        <f>SUMIFS(#REF!,#REF!,"Solid+Liquid")</f>
        <v>#REF!</v>
      </c>
      <c r="O1048538" s="166" t="e">
        <f>SUMIFS(#REF!,#REF!,"Solid+Liquid+LPA")</f>
        <v>#REF!</v>
      </c>
      <c r="P1048538" s="6"/>
      <c r="Q1048538" s="6"/>
      <c r="R1048538" s="6"/>
      <c r="S1048538" s="6"/>
      <c r="T1048538" s="6"/>
      <c r="U1048538" s="6"/>
    </row>
  </sheetData>
  <protectedRanges>
    <protectedRange sqref="D296:H314 K296:M314" name="Summary of Budget Proposed"/>
    <protectedRange sqref="A277 I271 C272:H277" name="Patient Support"/>
    <protectedRange sqref="B239:D240 B242:D243 G239:H240 G242:H243 I236" name="Procurement of Vehicles"/>
    <protectedRange sqref="C218:H218 I216" name="Printing"/>
    <protectedRange sqref="A205 C200:H207 I198" name="Office Operations"/>
    <protectedRange sqref="C149:H151 I147" name="PPM"/>
    <protectedRange sqref="C127:C128 C130:C131 B133:C134 E127:H128 E130:H131 E133:H134 I125" name="Vehicle Maintenance"/>
    <protectedRange sqref="C104:C116 A113:B116 D113:D116 E104:H116 I104" name="Equipment Maintenance"/>
    <protectedRange sqref="D62:H67 A67:C67 I61 F72:I75" name="Honorarium"/>
    <protectedRange sqref="B40:B42 D37:G38 D40:G48 C44:C45 L37" name="Civil works"/>
    <protectedRange sqref="D54:H56 I52" name="Lab Materials"/>
    <protectedRange sqref="B81:F81 H81 I79 B86:G98 A91:A98 I86:I98" name="ACSM"/>
    <protectedRange sqref="B122:H122 I120" name="Training"/>
    <protectedRange sqref="C140 C142:C143 E140:H140 E142:H143 I138" name="Vehicle Hiring"/>
    <protectedRange sqref="I157:K161 C168:H170 C172:H174 C176:C177 A178:H179 E176:H177 B181:C184 E181:H184 C186:C187 E186:H187 E189:H189 C191:H191 C193:C194 E193:H194 I167" name="Medical Colleges"/>
    <protectedRange sqref="A213:H213" name="Contractual Services"/>
    <protectedRange sqref="H222:H224 I221" name="Research and Studies"/>
    <protectedRange sqref="B250:D252 B254:D266 A265:A266 G265:H266 G263 G254:H261 I248" name="Procurement of Equipment"/>
    <protectedRange sqref="A288 D283:H288 I282" name="Supervision and Monitoring"/>
    <protectedRange sqref="B323:M332" name="Additionalities"/>
    <protectedRange sqref="D4 H4 B4:B5 H9:I10 H12:I13 H15:I18 B18 H21:K29 A29 Q18:U28" name="General"/>
    <protectedRange sqref="B229:H232 I227" name="Procurement of drugs"/>
  </protectedRanges>
  <mergeCells count="557">
    <mergeCell ref="A1:I1"/>
    <mergeCell ref="K293:M293"/>
    <mergeCell ref="K294:M294"/>
    <mergeCell ref="E248:F248"/>
    <mergeCell ref="E249:F249"/>
    <mergeCell ref="E250:F250"/>
    <mergeCell ref="E251:F251"/>
    <mergeCell ref="E252:F252"/>
    <mergeCell ref="A286:B286"/>
    <mergeCell ref="A288:B288"/>
    <mergeCell ref="I246:M247"/>
    <mergeCell ref="G244:H244"/>
    <mergeCell ref="G249:H249"/>
    <mergeCell ref="C250:D250"/>
    <mergeCell ref="G250:H250"/>
    <mergeCell ref="C248:D248"/>
    <mergeCell ref="S16:U16"/>
    <mergeCell ref="Q16:R16"/>
    <mergeCell ref="M16:P17"/>
    <mergeCell ref="C249:D249"/>
    <mergeCell ref="C252:D252"/>
    <mergeCell ref="G252:H252"/>
    <mergeCell ref="C251:D251"/>
    <mergeCell ref="G251:H251"/>
    <mergeCell ref="G288:H288"/>
    <mergeCell ref="G283:H283"/>
    <mergeCell ref="A283:B283"/>
    <mergeCell ref="E283:F283"/>
    <mergeCell ref="E285:F285"/>
    <mergeCell ref="G285:H285"/>
    <mergeCell ref="E286:F286"/>
    <mergeCell ref="G286:H286"/>
    <mergeCell ref="E288:F288"/>
    <mergeCell ref="I332:M332"/>
    <mergeCell ref="I333:M333"/>
    <mergeCell ref="I324:M324"/>
    <mergeCell ref="I325:M325"/>
    <mergeCell ref="I326:M326"/>
    <mergeCell ref="I327:M327"/>
    <mergeCell ref="I328:M328"/>
    <mergeCell ref="A220:H220"/>
    <mergeCell ref="I220:M220"/>
    <mergeCell ref="I221:M224"/>
    <mergeCell ref="D228:E228"/>
    <mergeCell ref="D229:E229"/>
    <mergeCell ref="G228:H228"/>
    <mergeCell ref="G229:H229"/>
    <mergeCell ref="I226:M226"/>
    <mergeCell ref="I227:M233"/>
    <mergeCell ref="D231:E231"/>
    <mergeCell ref="A280:H280"/>
    <mergeCell ref="E238:F238"/>
    <mergeCell ref="E239:F239"/>
    <mergeCell ref="E240:F240"/>
    <mergeCell ref="E241:F241"/>
    <mergeCell ref="E242:F242"/>
    <mergeCell ref="E243:F243"/>
    <mergeCell ref="I329:M329"/>
    <mergeCell ref="I330:M330"/>
    <mergeCell ref="I331:M331"/>
    <mergeCell ref="A2:I2"/>
    <mergeCell ref="A3:I3"/>
    <mergeCell ref="H4:I4"/>
    <mergeCell ref="A7:I7"/>
    <mergeCell ref="B9:G9"/>
    <mergeCell ref="H9:I9"/>
    <mergeCell ref="B16:G16"/>
    <mergeCell ref="G230:H230"/>
    <mergeCell ref="E237:F237"/>
    <mergeCell ref="G233:H233"/>
    <mergeCell ref="E244:F244"/>
    <mergeCell ref="C238:D238"/>
    <mergeCell ref="G241:H241"/>
    <mergeCell ref="I248:M267"/>
    <mergeCell ref="C253:D253"/>
    <mergeCell ref="G253:H253"/>
    <mergeCell ref="C254:D254"/>
    <mergeCell ref="C258:D258"/>
    <mergeCell ref="G258:H258"/>
    <mergeCell ref="C255:D255"/>
    <mergeCell ref="G255:H255"/>
    <mergeCell ref="B13:G13"/>
    <mergeCell ref="H13:I13"/>
    <mergeCell ref="B14:G14"/>
    <mergeCell ref="H14:I14"/>
    <mergeCell ref="B15:G15"/>
    <mergeCell ref="H15:I15"/>
    <mergeCell ref="B10:G10"/>
    <mergeCell ref="H10:I10"/>
    <mergeCell ref="B11:G11"/>
    <mergeCell ref="H11:I11"/>
    <mergeCell ref="B12:G12"/>
    <mergeCell ref="H12:I12"/>
    <mergeCell ref="A21:G21"/>
    <mergeCell ref="A22:G22"/>
    <mergeCell ref="A23:G23"/>
    <mergeCell ref="A20:G20"/>
    <mergeCell ref="B17:G17"/>
    <mergeCell ref="H17:I17"/>
    <mergeCell ref="H16:I16"/>
    <mergeCell ref="B18:G18"/>
    <mergeCell ref="H18:I18"/>
    <mergeCell ref="A24:G24"/>
    <mergeCell ref="A26:G26"/>
    <mergeCell ref="I34:K34"/>
    <mergeCell ref="A35:B36"/>
    <mergeCell ref="C35:C36"/>
    <mergeCell ref="D35:D36"/>
    <mergeCell ref="E35:E36"/>
    <mergeCell ref="F35:H35"/>
    <mergeCell ref="I35:I36"/>
    <mergeCell ref="J35:J36"/>
    <mergeCell ref="A25:G25"/>
    <mergeCell ref="A27:G27"/>
    <mergeCell ref="A31:Q31"/>
    <mergeCell ref="A33:H33"/>
    <mergeCell ref="L33:M36"/>
    <mergeCell ref="A43:B43"/>
    <mergeCell ref="A44:B44"/>
    <mergeCell ref="K35:K36"/>
    <mergeCell ref="I33:K33"/>
    <mergeCell ref="A28:G28"/>
    <mergeCell ref="A29:G29"/>
    <mergeCell ref="A48:B48"/>
    <mergeCell ref="A49:B49"/>
    <mergeCell ref="A37:B37"/>
    <mergeCell ref="A38:B38"/>
    <mergeCell ref="A39:B39"/>
    <mergeCell ref="I52:M57"/>
    <mergeCell ref="D52:E52"/>
    <mergeCell ref="F52:F53"/>
    <mergeCell ref="G52:H52"/>
    <mergeCell ref="A54:B54"/>
    <mergeCell ref="A55:B55"/>
    <mergeCell ref="L37:M49"/>
    <mergeCell ref="A47:B47"/>
    <mergeCell ref="A51:H51"/>
    <mergeCell ref="A52:B53"/>
    <mergeCell ref="C52:C53"/>
    <mergeCell ref="I51:M51"/>
    <mergeCell ref="A45:B45"/>
    <mergeCell ref="A46:B46"/>
    <mergeCell ref="A56:B56"/>
    <mergeCell ref="A57:B57"/>
    <mergeCell ref="A64:B64"/>
    <mergeCell ref="F64:G64"/>
    <mergeCell ref="F62:G62"/>
    <mergeCell ref="A63:B63"/>
    <mergeCell ref="F63:G63"/>
    <mergeCell ref="I59:M60"/>
    <mergeCell ref="I61:M68"/>
    <mergeCell ref="A67:B67"/>
    <mergeCell ref="F67:G67"/>
    <mergeCell ref="A68:B68"/>
    <mergeCell ref="F68:G68"/>
    <mergeCell ref="A65:B65"/>
    <mergeCell ref="F65:G65"/>
    <mergeCell ref="A66:B66"/>
    <mergeCell ref="A61:B61"/>
    <mergeCell ref="A70:I70"/>
    <mergeCell ref="A71:E71"/>
    <mergeCell ref="H71:I71"/>
    <mergeCell ref="A72:E72"/>
    <mergeCell ref="H72:I72"/>
    <mergeCell ref="A73:E73"/>
    <mergeCell ref="H73:I73"/>
    <mergeCell ref="A74:E74"/>
    <mergeCell ref="F61:G61"/>
    <mergeCell ref="A62:B62"/>
    <mergeCell ref="H74:I74"/>
    <mergeCell ref="A75:E75"/>
    <mergeCell ref="H75:I75"/>
    <mergeCell ref="I124:M124"/>
    <mergeCell ref="G108:H108"/>
    <mergeCell ref="A101:H101"/>
    <mergeCell ref="I101:M103"/>
    <mergeCell ref="A103:B103"/>
    <mergeCell ref="A105:B105"/>
    <mergeCell ref="G105:H105"/>
    <mergeCell ref="A76:E76"/>
    <mergeCell ref="H76:I76"/>
    <mergeCell ref="G106:H106"/>
    <mergeCell ref="A107:B107"/>
    <mergeCell ref="G107:H107"/>
    <mergeCell ref="A116:B116"/>
    <mergeCell ref="G116:H116"/>
    <mergeCell ref="A110:B110"/>
    <mergeCell ref="G110:H110"/>
    <mergeCell ref="A111:B111"/>
    <mergeCell ref="G111:H111"/>
    <mergeCell ref="A112:B112"/>
    <mergeCell ref="G112:H112"/>
    <mergeCell ref="A113:B113"/>
    <mergeCell ref="G113:H113"/>
    <mergeCell ref="A167:B167"/>
    <mergeCell ref="D167:E167"/>
    <mergeCell ref="J157:K157"/>
    <mergeCell ref="A158:H158"/>
    <mergeCell ref="J158:K158"/>
    <mergeCell ref="A159:H159"/>
    <mergeCell ref="J159:K159"/>
    <mergeCell ref="A156:H156"/>
    <mergeCell ref="J156:K156"/>
    <mergeCell ref="A157:H157"/>
    <mergeCell ref="J160:K160"/>
    <mergeCell ref="A161:H161"/>
    <mergeCell ref="J161:K161"/>
    <mergeCell ref="A164:B166"/>
    <mergeCell ref="C164:C166"/>
    <mergeCell ref="E164:E166"/>
    <mergeCell ref="G164:G166"/>
    <mergeCell ref="G151:H151"/>
    <mergeCell ref="G152:H152"/>
    <mergeCell ref="A160:H160"/>
    <mergeCell ref="F167:G167"/>
    <mergeCell ref="D164:D166"/>
    <mergeCell ref="F164:F166"/>
    <mergeCell ref="H164:H166"/>
    <mergeCell ref="I164:M166"/>
    <mergeCell ref="I167:M195"/>
    <mergeCell ref="D180:E180"/>
    <mergeCell ref="F180:G180"/>
    <mergeCell ref="F185:G185"/>
    <mergeCell ref="E255:F255"/>
    <mergeCell ref="E256:F256"/>
    <mergeCell ref="G256:H256"/>
    <mergeCell ref="C256:D256"/>
    <mergeCell ref="C204:D204"/>
    <mergeCell ref="E204:F204"/>
    <mergeCell ref="E258:F258"/>
    <mergeCell ref="C257:D257"/>
    <mergeCell ref="G257:H257"/>
    <mergeCell ref="G254:H254"/>
    <mergeCell ref="E253:F253"/>
    <mergeCell ref="E254:F254"/>
    <mergeCell ref="G231:H231"/>
    <mergeCell ref="G232:H232"/>
    <mergeCell ref="E208:F208"/>
    <mergeCell ref="C205:D205"/>
    <mergeCell ref="E205:F205"/>
    <mergeCell ref="G204:H204"/>
    <mergeCell ref="G205:H205"/>
    <mergeCell ref="G206:H206"/>
    <mergeCell ref="G207:H207"/>
    <mergeCell ref="G208:H208"/>
    <mergeCell ref="E257:F257"/>
    <mergeCell ref="G248:H248"/>
    <mergeCell ref="C261:D261"/>
    <mergeCell ref="G261:H261"/>
    <mergeCell ref="C262:D262"/>
    <mergeCell ref="G262:H262"/>
    <mergeCell ref="E261:F261"/>
    <mergeCell ref="E262:F262"/>
    <mergeCell ref="E260:F260"/>
    <mergeCell ref="C259:D259"/>
    <mergeCell ref="G259:H259"/>
    <mergeCell ref="C260:D260"/>
    <mergeCell ref="G260:H260"/>
    <mergeCell ref="E259:F259"/>
    <mergeCell ref="I78:M78"/>
    <mergeCell ref="I79:M81"/>
    <mergeCell ref="H79:H80"/>
    <mergeCell ref="G79:G80"/>
    <mergeCell ref="F79:F80"/>
    <mergeCell ref="E79:E80"/>
    <mergeCell ref="B323:C323"/>
    <mergeCell ref="F323:G323"/>
    <mergeCell ref="A320:H320"/>
    <mergeCell ref="I320:M320"/>
    <mergeCell ref="I321:M322"/>
    <mergeCell ref="I323:M323"/>
    <mergeCell ref="I314:J314"/>
    <mergeCell ref="B315:C315"/>
    <mergeCell ref="I315:J315"/>
    <mergeCell ref="B312:C312"/>
    <mergeCell ref="I312:J312"/>
    <mergeCell ref="B313:C313"/>
    <mergeCell ref="I313:J313"/>
    <mergeCell ref="B300:C300"/>
    <mergeCell ref="C283:C288"/>
    <mergeCell ref="B311:C311"/>
    <mergeCell ref="I311:J311"/>
    <mergeCell ref="B308:C308"/>
    <mergeCell ref="F333:G333"/>
    <mergeCell ref="A333:E333"/>
    <mergeCell ref="A78:H78"/>
    <mergeCell ref="A79:A80"/>
    <mergeCell ref="F326:G326"/>
    <mergeCell ref="B327:C327"/>
    <mergeCell ref="F327:G327"/>
    <mergeCell ref="B328:C328"/>
    <mergeCell ref="D79:D80"/>
    <mergeCell ref="C79:C80"/>
    <mergeCell ref="B79:B80"/>
    <mergeCell ref="B330:C330"/>
    <mergeCell ref="F330:G330"/>
    <mergeCell ref="B331:C331"/>
    <mergeCell ref="F331:G331"/>
    <mergeCell ref="F328:G328"/>
    <mergeCell ref="B329:C329"/>
    <mergeCell ref="F329:G329"/>
    <mergeCell ref="F325:G325"/>
    <mergeCell ref="B309:C309"/>
    <mergeCell ref="B314:C314"/>
    <mergeCell ref="A287:B287"/>
    <mergeCell ref="E287:F287"/>
    <mergeCell ref="G287:H287"/>
    <mergeCell ref="B326:C326"/>
    <mergeCell ref="B296:C296"/>
    <mergeCell ref="B297:C297"/>
    <mergeCell ref="B302:C302"/>
    <mergeCell ref="B324:C324"/>
    <mergeCell ref="F324:G324"/>
    <mergeCell ref="B325:C325"/>
    <mergeCell ref="B332:C332"/>
    <mergeCell ref="F332:G332"/>
    <mergeCell ref="B298:C298"/>
    <mergeCell ref="B301:C301"/>
    <mergeCell ref="I137:M137"/>
    <mergeCell ref="I138:M144"/>
    <mergeCell ref="I120:M122"/>
    <mergeCell ref="A104:B104"/>
    <mergeCell ref="A117:B117"/>
    <mergeCell ref="G121:H121"/>
    <mergeCell ref="G122:H122"/>
    <mergeCell ref="E121:F121"/>
    <mergeCell ref="C121:D121"/>
    <mergeCell ref="E122:F122"/>
    <mergeCell ref="G133:H133"/>
    <mergeCell ref="G134:H134"/>
    <mergeCell ref="G131:H131"/>
    <mergeCell ref="G132:H132"/>
    <mergeCell ref="I125:M135"/>
    <mergeCell ref="G128:H128"/>
    <mergeCell ref="G129:H129"/>
    <mergeCell ref="G130:H130"/>
    <mergeCell ref="G126:H126"/>
    <mergeCell ref="G127:H127"/>
    <mergeCell ref="A114:B114"/>
    <mergeCell ref="G114:H114"/>
    <mergeCell ref="A115:B115"/>
    <mergeCell ref="G115:H115"/>
    <mergeCell ref="A135:C135"/>
    <mergeCell ref="G135:H135"/>
    <mergeCell ref="A144:C144"/>
    <mergeCell ref="B142:B143"/>
    <mergeCell ref="A137:H137"/>
    <mergeCell ref="C122:D122"/>
    <mergeCell ref="G117:H117"/>
    <mergeCell ref="A109:B109"/>
    <mergeCell ref="G139:H139"/>
    <mergeCell ref="G140:H140"/>
    <mergeCell ref="G141:H141"/>
    <mergeCell ref="G109:H109"/>
    <mergeCell ref="A146:H146"/>
    <mergeCell ref="I146:M146"/>
    <mergeCell ref="I147:M152"/>
    <mergeCell ref="G148:H148"/>
    <mergeCell ref="G149:H149"/>
    <mergeCell ref="G150:H150"/>
    <mergeCell ref="G142:H142"/>
    <mergeCell ref="G143:H143"/>
    <mergeCell ref="G144:H144"/>
    <mergeCell ref="I197:M197"/>
    <mergeCell ref="I198:M208"/>
    <mergeCell ref="C206:D206"/>
    <mergeCell ref="E206:F206"/>
    <mergeCell ref="C203:D203"/>
    <mergeCell ref="A195:C195"/>
    <mergeCell ref="A193:B193"/>
    <mergeCell ref="I84:I85"/>
    <mergeCell ref="G104:H104"/>
    <mergeCell ref="I104:M117"/>
    <mergeCell ref="A119:H119"/>
    <mergeCell ref="I119:M119"/>
    <mergeCell ref="A186:B186"/>
    <mergeCell ref="A178:B178"/>
    <mergeCell ref="A175:B175"/>
    <mergeCell ref="D175:E175"/>
    <mergeCell ref="F175:G175"/>
    <mergeCell ref="A176:B176"/>
    <mergeCell ref="A179:B179"/>
    <mergeCell ref="A190:B190"/>
    <mergeCell ref="D190:E190"/>
    <mergeCell ref="F190:G190"/>
    <mergeCell ref="A187:B187"/>
    <mergeCell ref="A188:B188"/>
    <mergeCell ref="G103:H103"/>
    <mergeCell ref="D84:H84"/>
    <mergeCell ref="A171:B171"/>
    <mergeCell ref="A212:B212"/>
    <mergeCell ref="A213:B213"/>
    <mergeCell ref="G212:H212"/>
    <mergeCell ref="G213:H213"/>
    <mergeCell ref="A210:H210"/>
    <mergeCell ref="A172:B172"/>
    <mergeCell ref="E201:F201"/>
    <mergeCell ref="A194:B194"/>
    <mergeCell ref="A191:B191"/>
    <mergeCell ref="A192:B192"/>
    <mergeCell ref="D192:E192"/>
    <mergeCell ref="A84:A85"/>
    <mergeCell ref="B84:B85"/>
    <mergeCell ref="C84:C85"/>
    <mergeCell ref="A106:B106"/>
    <mergeCell ref="A108:B108"/>
    <mergeCell ref="A173:B173"/>
    <mergeCell ref="D181:D184"/>
    <mergeCell ref="E181:E184"/>
    <mergeCell ref="D188:E188"/>
    <mergeCell ref="F188:G188"/>
    <mergeCell ref="G238:H238"/>
    <mergeCell ref="G239:H239"/>
    <mergeCell ref="G240:H240"/>
    <mergeCell ref="I235:M235"/>
    <mergeCell ref="I236:M244"/>
    <mergeCell ref="C202:D202"/>
    <mergeCell ref="C199:D199"/>
    <mergeCell ref="E199:F199"/>
    <mergeCell ref="E202:F202"/>
    <mergeCell ref="C207:D207"/>
    <mergeCell ref="E207:F207"/>
    <mergeCell ref="I210:M210"/>
    <mergeCell ref="I211:M213"/>
    <mergeCell ref="C217:D217"/>
    <mergeCell ref="C200:D200"/>
    <mergeCell ref="E200:F200"/>
    <mergeCell ref="C201:D201"/>
    <mergeCell ref="I216:M218"/>
    <mergeCell ref="C218:D218"/>
    <mergeCell ref="G217:H217"/>
    <mergeCell ref="G218:H218"/>
    <mergeCell ref="A215:H215"/>
    <mergeCell ref="I215:M215"/>
    <mergeCell ref="E203:F203"/>
    <mergeCell ref="A174:B174"/>
    <mergeCell ref="A218:B218"/>
    <mergeCell ref="D227:E227"/>
    <mergeCell ref="A223:G223"/>
    <mergeCell ref="A224:G224"/>
    <mergeCell ref="A222:G222"/>
    <mergeCell ref="G227:H227"/>
    <mergeCell ref="A226:H226"/>
    <mergeCell ref="G237:H237"/>
    <mergeCell ref="A217:B217"/>
    <mergeCell ref="F192:G192"/>
    <mergeCell ref="A189:B189"/>
    <mergeCell ref="B200:B205"/>
    <mergeCell ref="A185:B185"/>
    <mergeCell ref="D185:E185"/>
    <mergeCell ref="A177:B177"/>
    <mergeCell ref="G201:H201"/>
    <mergeCell ref="G202:H202"/>
    <mergeCell ref="G203:H203"/>
    <mergeCell ref="G199:H199"/>
    <mergeCell ref="G200:H200"/>
    <mergeCell ref="D230:E230"/>
    <mergeCell ref="D232:E232"/>
    <mergeCell ref="D233:E233"/>
    <mergeCell ref="C208:D208"/>
    <mergeCell ref="A233:B233"/>
    <mergeCell ref="A282:B282"/>
    <mergeCell ref="E282:F282"/>
    <mergeCell ref="C237:D237"/>
    <mergeCell ref="C239:D239"/>
    <mergeCell ref="C240:D240"/>
    <mergeCell ref="A276:B276"/>
    <mergeCell ref="C276:D276"/>
    <mergeCell ref="A271:B271"/>
    <mergeCell ref="C271:D271"/>
    <mergeCell ref="A272:B272"/>
    <mergeCell ref="C272:D272"/>
    <mergeCell ref="A275:B275"/>
    <mergeCell ref="C275:D275"/>
    <mergeCell ref="A267:D267"/>
    <mergeCell ref="A274:B274"/>
    <mergeCell ref="C274:D274"/>
    <mergeCell ref="A273:B273"/>
    <mergeCell ref="C273:D273"/>
    <mergeCell ref="E267:F267"/>
    <mergeCell ref="C241:D241"/>
    <mergeCell ref="C242:D242"/>
    <mergeCell ref="C243:D243"/>
    <mergeCell ref="G242:H242"/>
    <mergeCell ref="G243:H243"/>
    <mergeCell ref="C265:D265"/>
    <mergeCell ref="G265:H265"/>
    <mergeCell ref="G282:H282"/>
    <mergeCell ref="A277:B277"/>
    <mergeCell ref="C277:D277"/>
    <mergeCell ref="G277:H277"/>
    <mergeCell ref="A278:B278"/>
    <mergeCell ref="C278:D278"/>
    <mergeCell ref="G278:H278"/>
    <mergeCell ref="G276:H276"/>
    <mergeCell ref="G273:H273"/>
    <mergeCell ref="G271:H271"/>
    <mergeCell ref="G275:H275"/>
    <mergeCell ref="G267:H267"/>
    <mergeCell ref="G274:H274"/>
    <mergeCell ref="G272:H272"/>
    <mergeCell ref="A269:H269"/>
    <mergeCell ref="C263:D263"/>
    <mergeCell ref="G263:H263"/>
    <mergeCell ref="C266:D266"/>
    <mergeCell ref="G266:H266"/>
    <mergeCell ref="E265:F265"/>
    <mergeCell ref="E266:F266"/>
    <mergeCell ref="A244:D244"/>
    <mergeCell ref="B322:C322"/>
    <mergeCell ref="F322:G322"/>
    <mergeCell ref="B316:C316"/>
    <mergeCell ref="B304:C304"/>
    <mergeCell ref="A284:B284"/>
    <mergeCell ref="D294:E294"/>
    <mergeCell ref="F294:H294"/>
    <mergeCell ref="A289:B289"/>
    <mergeCell ref="E289:F289"/>
    <mergeCell ref="G289:H289"/>
    <mergeCell ref="E284:F284"/>
    <mergeCell ref="G284:H284"/>
    <mergeCell ref="A285:B285"/>
    <mergeCell ref="A294:A295"/>
    <mergeCell ref="B294:C295"/>
    <mergeCell ref="C264:D264"/>
    <mergeCell ref="G264:H264"/>
    <mergeCell ref="E263:F263"/>
    <mergeCell ref="E264:F264"/>
    <mergeCell ref="B310:C310"/>
    <mergeCell ref="I310:J310"/>
    <mergeCell ref="I316:J316"/>
    <mergeCell ref="B317:C317"/>
    <mergeCell ref="I317:J317"/>
    <mergeCell ref="B306:C306"/>
    <mergeCell ref="I306:J306"/>
    <mergeCell ref="B307:C307"/>
    <mergeCell ref="I307:J307"/>
    <mergeCell ref="I308:J308"/>
    <mergeCell ref="I309:J309"/>
    <mergeCell ref="I269:M270"/>
    <mergeCell ref="I302:J302"/>
    <mergeCell ref="B303:C303"/>
    <mergeCell ref="I303:J303"/>
    <mergeCell ref="I300:J300"/>
    <mergeCell ref="I304:J304"/>
    <mergeCell ref="B305:C305"/>
    <mergeCell ref="I305:J305"/>
    <mergeCell ref="B299:C299"/>
    <mergeCell ref="I299:J299"/>
    <mergeCell ref="I298:J298"/>
    <mergeCell ref="I297:J297"/>
    <mergeCell ref="I296:J296"/>
    <mergeCell ref="I294:J295"/>
    <mergeCell ref="I301:J301"/>
    <mergeCell ref="I271:M278"/>
    <mergeCell ref="I280:M281"/>
    <mergeCell ref="I282:M289"/>
  </mergeCells>
  <conditionalFormatting sqref="H14:I14">
    <cfRule type="cellIs" dxfId="65" priority="62" operator="notEqual">
      <formula>$H$9</formula>
    </cfRule>
  </conditionalFormatting>
  <conditionalFormatting sqref="D44">
    <cfRule type="cellIs" dxfId="64" priority="61" operator="greaterThan">
      <formula>$H$22</formula>
    </cfRule>
  </conditionalFormatting>
  <conditionalFormatting sqref="F37">
    <cfRule type="cellIs" dxfId="63" priority="60" operator="greaterThan">
      <formula>$I$37</formula>
    </cfRule>
  </conditionalFormatting>
  <conditionalFormatting sqref="G37">
    <cfRule type="cellIs" dxfId="62" priority="59" operator="greaterThan">
      <formula>$J$37</formula>
    </cfRule>
  </conditionalFormatting>
  <conditionalFormatting sqref="F38">
    <cfRule type="cellIs" dxfId="61" priority="58" operator="greaterThan">
      <formula>$I$38</formula>
    </cfRule>
  </conditionalFormatting>
  <conditionalFormatting sqref="G38">
    <cfRule type="cellIs" dxfId="60" priority="57" operator="greaterThan">
      <formula>$J$38</formula>
    </cfRule>
  </conditionalFormatting>
  <conditionalFormatting sqref="F40">
    <cfRule type="cellIs" dxfId="59" priority="56" operator="greaterThan">
      <formula>$I$40</formula>
    </cfRule>
  </conditionalFormatting>
  <conditionalFormatting sqref="G40">
    <cfRule type="cellIs" dxfId="58" priority="55" operator="greaterThan">
      <formula>$J$40</formula>
    </cfRule>
  </conditionalFormatting>
  <conditionalFormatting sqref="F43">
    <cfRule type="cellIs" dxfId="57" priority="54" operator="greaterThan">
      <formula>$I$43</formula>
    </cfRule>
  </conditionalFormatting>
  <conditionalFormatting sqref="F44">
    <cfRule type="cellIs" dxfId="56" priority="53" operator="greaterThan">
      <formula>$I$44</formula>
    </cfRule>
  </conditionalFormatting>
  <conditionalFormatting sqref="G44">
    <cfRule type="cellIs" dxfId="55" priority="52" operator="greaterThan">
      <formula>$J$44</formula>
    </cfRule>
  </conditionalFormatting>
  <conditionalFormatting sqref="F45">
    <cfRule type="cellIs" dxfId="54" priority="51" operator="greaterThan">
      <formula>$I$45</formula>
    </cfRule>
  </conditionalFormatting>
  <conditionalFormatting sqref="G45">
    <cfRule type="cellIs" dxfId="53" priority="50" operator="greaterThan">
      <formula>$J$45</formula>
    </cfRule>
  </conditionalFormatting>
  <conditionalFormatting sqref="F46">
    <cfRule type="cellIs" dxfId="52" priority="49" operator="greaterThan">
      <formula>$I$46</formula>
    </cfRule>
  </conditionalFormatting>
  <conditionalFormatting sqref="G46">
    <cfRule type="cellIs" dxfId="51" priority="48" operator="greaterThan">
      <formula>$J$46</formula>
    </cfRule>
  </conditionalFormatting>
  <conditionalFormatting sqref="F48">
    <cfRule type="cellIs" dxfId="50" priority="47" operator="greaterThan">
      <formula>$I$48</formula>
    </cfRule>
  </conditionalFormatting>
  <conditionalFormatting sqref="G48">
    <cfRule type="cellIs" dxfId="49" priority="46" operator="greaterThan">
      <formula>$J$48</formula>
    </cfRule>
  </conditionalFormatting>
  <conditionalFormatting sqref="F41">
    <cfRule type="cellIs" dxfId="48" priority="45" operator="greaterThan">
      <formula>$I$41</formula>
    </cfRule>
  </conditionalFormatting>
  <conditionalFormatting sqref="G41">
    <cfRule type="cellIs" dxfId="47" priority="44" operator="greaterThan">
      <formula>$J$41</formula>
    </cfRule>
  </conditionalFormatting>
  <conditionalFormatting sqref="F42">
    <cfRule type="cellIs" dxfId="46" priority="43" operator="greaterThan">
      <formula>$I$42</formula>
    </cfRule>
  </conditionalFormatting>
  <conditionalFormatting sqref="G42">
    <cfRule type="cellIs" dxfId="45" priority="42" operator="greaterThan">
      <formula>$J$42</formula>
    </cfRule>
  </conditionalFormatting>
  <conditionalFormatting sqref="G141">
    <cfRule type="cellIs" dxfId="44" priority="41" operator="greaterThan">
      <formula>$D$141</formula>
    </cfRule>
  </conditionalFormatting>
  <conditionalFormatting sqref="H176">
    <cfRule type="cellIs" dxfId="43" priority="40" operator="greaterThan">
      <formula>$D$176</formula>
    </cfRule>
  </conditionalFormatting>
  <conditionalFormatting sqref="H177">
    <cfRule type="cellIs" dxfId="42" priority="39" operator="greaterThan">
      <formula>$D$177</formula>
    </cfRule>
  </conditionalFormatting>
  <conditionalFormatting sqref="H181:H184">
    <cfRule type="expression" dxfId="41" priority="38">
      <formula>SUM($H$181:$I$184)&gt;$D$181</formula>
    </cfRule>
  </conditionalFormatting>
  <conditionalFormatting sqref="G208">
    <cfRule type="cellIs" dxfId="40" priority="37" operator="greaterThan">
      <formula>$B$208</formula>
    </cfRule>
  </conditionalFormatting>
  <conditionalFormatting sqref="G218">
    <cfRule type="cellIs" dxfId="39" priority="36" operator="greaterThan">
      <formula>$A$218</formula>
    </cfRule>
  </conditionalFormatting>
  <conditionalFormatting sqref="H223">
    <cfRule type="cellIs" dxfId="38" priority="35" operator="notEqual">
      <formula>$H$222</formula>
    </cfRule>
  </conditionalFormatting>
  <conditionalFormatting sqref="G254:H254">
    <cfRule type="cellIs" dxfId="37" priority="33" operator="greaterThan">
      <formula>$E$254</formula>
    </cfRule>
    <cfRule type="cellIs" dxfId="36" priority="34" operator="greaterThan">
      <formula>120000</formula>
    </cfRule>
  </conditionalFormatting>
  <conditionalFormatting sqref="C254:D254">
    <cfRule type="expression" dxfId="35" priority="31">
      <formula>SUM($B$254:$D$254)&gt;$B$140</formula>
    </cfRule>
    <cfRule type="expression" dxfId="34" priority="32">
      <formula>SUM($B$254:$D$254)&gt;2</formula>
    </cfRule>
  </conditionalFormatting>
  <conditionalFormatting sqref="G255:H255">
    <cfRule type="cellIs" dxfId="33" priority="30" operator="greaterThan">
      <formula>$E$255</formula>
    </cfRule>
  </conditionalFormatting>
  <conditionalFormatting sqref="G256:H256">
    <cfRule type="cellIs" dxfId="32" priority="29" operator="greaterThan">
      <formula>$E$256</formula>
    </cfRule>
  </conditionalFormatting>
  <conditionalFormatting sqref="C257:D257">
    <cfRule type="expression" dxfId="31" priority="28">
      <formula>SUM($B$257+$C$257)&gt;1</formula>
    </cfRule>
  </conditionalFormatting>
  <conditionalFormatting sqref="G257:H257">
    <cfRule type="cellIs" dxfId="30" priority="27" operator="greaterThan">
      <formula>$E$257</formula>
    </cfRule>
  </conditionalFormatting>
  <conditionalFormatting sqref="C258:D258">
    <cfRule type="expression" dxfId="29" priority="26">
      <formula>SUM($B$258+$C$258)&gt;1</formula>
    </cfRule>
  </conditionalFormatting>
  <conditionalFormatting sqref="G258:H258">
    <cfRule type="cellIs" dxfId="28" priority="25" operator="greaterThan">
      <formula>$E$258</formula>
    </cfRule>
  </conditionalFormatting>
  <conditionalFormatting sqref="B259:D259">
    <cfRule type="expression" dxfId="27" priority="24">
      <formula>SUM($B$259+$C$259)&gt;1</formula>
    </cfRule>
  </conditionalFormatting>
  <conditionalFormatting sqref="G259:H259">
    <cfRule type="cellIs" dxfId="26" priority="23" operator="greaterThan">
      <formula>$E$259</formula>
    </cfRule>
  </conditionalFormatting>
  <conditionalFormatting sqref="C260:D260">
    <cfRule type="expression" dxfId="25" priority="22">
      <formula>SUM($B$260+$C$260)&gt;1</formula>
    </cfRule>
  </conditionalFormatting>
  <conditionalFormatting sqref="G260:H260">
    <cfRule type="cellIs" dxfId="24" priority="21" operator="greaterThan">
      <formula>$E$260</formula>
    </cfRule>
  </conditionalFormatting>
  <conditionalFormatting sqref="C261:D261">
    <cfRule type="expression" dxfId="23" priority="20">
      <formula>SUM($B$261+$C$261)&gt;1</formula>
    </cfRule>
  </conditionalFormatting>
  <conditionalFormatting sqref="G261:H261">
    <cfRule type="cellIs" dxfId="22" priority="19" operator="greaterThan">
      <formula>$E$261</formula>
    </cfRule>
  </conditionalFormatting>
  <conditionalFormatting sqref="C256:D256">
    <cfRule type="expression" dxfId="21" priority="18">
      <formula>SUM($B$256+$C$256)&gt;$H$26</formula>
    </cfRule>
  </conditionalFormatting>
  <conditionalFormatting sqref="C255:D255">
    <cfRule type="expression" dxfId="20" priority="17">
      <formula>SUM($B$255+$C$255)&gt;$H$27</formula>
    </cfRule>
  </conditionalFormatting>
  <conditionalFormatting sqref="C263:D263">
    <cfRule type="expression" dxfId="19" priority="16">
      <formula>SUM($B$263+$C$263)&gt;$B$129</formula>
    </cfRule>
  </conditionalFormatting>
  <conditionalFormatting sqref="G263:H263 G265:H266">
    <cfRule type="cellIs" dxfId="18" priority="15" operator="greaterThan">
      <formula>$E$263</formula>
    </cfRule>
  </conditionalFormatting>
  <conditionalFormatting sqref="G200:G205">
    <cfRule type="expression" dxfId="17" priority="14">
      <formula>SUM($G$200:$I$205)&gt;$B$200</formula>
    </cfRule>
  </conditionalFormatting>
  <conditionalFormatting sqref="G206">
    <cfRule type="cellIs" dxfId="16" priority="13" operator="greaterThan">
      <formula>$B$206</formula>
    </cfRule>
  </conditionalFormatting>
  <conditionalFormatting sqref="G207">
    <cfRule type="cellIs" dxfId="15" priority="12" operator="greaterThan">
      <formula>$B$207</formula>
    </cfRule>
  </conditionalFormatting>
  <conditionalFormatting sqref="H194">
    <cfRule type="cellIs" dxfId="14" priority="11" operator="greaterThan">
      <formula>$D$194</formula>
    </cfRule>
  </conditionalFormatting>
  <conditionalFormatting sqref="E43">
    <cfRule type="expression" dxfId="13" priority="10">
      <formula>SUM($D$43:$E$43)&gt;1</formula>
    </cfRule>
  </conditionalFormatting>
  <conditionalFormatting sqref="I43">
    <cfRule type="expression" dxfId="12" priority="9">
      <formula>SUM($D$43:$E$43)&gt;1</formula>
    </cfRule>
  </conditionalFormatting>
  <conditionalFormatting sqref="D45">
    <cfRule type="cellIs" dxfId="11" priority="8" operator="greaterThan">
      <formula>$H$24</formula>
    </cfRule>
  </conditionalFormatting>
  <conditionalFormatting sqref="C141">
    <cfRule type="expression" dxfId="10" priority="7">
      <formula>SUM($C$141,$C$128)&gt;$B$128</formula>
    </cfRule>
  </conditionalFormatting>
  <conditionalFormatting sqref="C140">
    <cfRule type="expression" dxfId="9" priority="6">
      <formula>SUM($C$127,$C$140)&gt;$B$127</formula>
    </cfRule>
  </conditionalFormatting>
  <conditionalFormatting sqref="C259:D259">
    <cfRule type="cellIs" dxfId="8" priority="5" operator="greaterThan">
      <formula>$G$1048526</formula>
    </cfRule>
  </conditionalFormatting>
  <conditionalFormatting sqref="C263:D263">
    <cfRule type="expression" dxfId="7" priority="4">
      <formula>SUM($D$44:$E$44)&gt;$C$263</formula>
    </cfRule>
  </conditionalFormatting>
  <conditionalFormatting sqref="F47">
    <cfRule type="cellIs" dxfId="6" priority="3" operator="greaterThan">
      <formula>$I$48</formula>
    </cfRule>
  </conditionalFormatting>
  <conditionalFormatting sqref="G47">
    <cfRule type="cellIs" dxfId="5" priority="2" operator="greaterThan">
      <formula>$J$48</formula>
    </cfRule>
  </conditionalFormatting>
  <conditionalFormatting sqref="G149">
    <cfRule type="cellIs" dxfId="4" priority="63" operator="greaterThan">
      <formula>$B$149</formula>
    </cfRule>
  </conditionalFormatting>
  <conditionalFormatting sqref="G152">
    <cfRule type="cellIs" dxfId="3" priority="64" operator="greaterThan">
      <formula>$B$152</formula>
    </cfRule>
  </conditionalFormatting>
  <conditionalFormatting sqref="I99">
    <cfRule type="cellIs" dxfId="2" priority="1" operator="notEqual">
      <formula>$H$81</formula>
    </cfRule>
  </conditionalFormatting>
  <conditionalFormatting sqref="H81">
    <cfRule type="cellIs" dxfId="1" priority="65" operator="greaterThan">
      <formula>$G$81</formula>
    </cfRule>
  </conditionalFormatting>
  <dataValidations count="22">
    <dataValidation type="whole" operator="greaterThanOrEqual" allowBlank="1" showInputMessage="1" showErrorMessage="1" promptTitle="Norms" sqref="F189:H189 E191:H191">
      <formula1>0</formula1>
    </dataValidation>
    <dataValidation type="whole" operator="greaterThanOrEqual" allowBlank="1" showInputMessage="1" showErrorMessage="1" promptTitle="Norms" prompt="Travel costs and per diems for participation in STF/ZTF/NTF, for attending the trainings, participation in meetings and internal / central level evaluations / appraisals will be borne under this head. TA/DA norms as per the training head" sqref="E189">
      <formula1>0</formula1>
    </dataValidation>
    <dataValidation type="whole" operator="greaterThan" allowBlank="1" showInputMessage="1" showErrorMessage="1" sqref="E172:H174">
      <formula1>0</formula1>
    </dataValidation>
    <dataValidation type="whole" operator="greaterThan" allowBlank="1" showInputMessage="1" showErrorMessage="1" promptTitle="Norms" sqref="E168:H170">
      <formula1>0</formula1>
    </dataValidation>
    <dataValidation type="whole" operator="greaterThanOrEqual" allowBlank="1" showInputMessage="1" showErrorMessage="1" prompt="15% of cost" sqref="D110:D111 D113:D116">
      <formula1>0</formula1>
    </dataValidation>
    <dataValidation type="whole" operator="greaterThanOrEqual" allowBlank="1" showInputMessage="1" showErrorMessage="1" prompt="In case district do not have exact distribution of Cat I &amp; II patients with non-salaried dot provider, then 80% may be taken as Cat I and 20% as Cat II for calculation purpose." sqref="D62:D67">
      <formula1>0</formula1>
    </dataValidation>
    <dataValidation type="decimal" allowBlank="1" showInputMessage="1" showErrorMessage="1" prompt="Mention tribal population._x000a_If population is tribal as well as hilly, mention it in tribal population only." sqref="H15:I15">
      <formula1>0</formula1>
      <formula2>150</formula2>
    </dataValidation>
    <dataValidation allowBlank="1" showInputMessage="1" showErrorMessage="1" prompt="Mention urban population in cells below as relevant" sqref="H11:I11"/>
    <dataValidation type="list" allowBlank="1" showInputMessage="1" showErrorMessage="1" sqref="B5">
      <formula1>"Tribal/Hilly,Urban,Rural"</formula1>
    </dataValidation>
    <dataValidation type="list" allowBlank="1" showInputMessage="1" showErrorMessage="1" sqref="D4">
      <formula1>"1,1.3"</formula1>
    </dataValidation>
    <dataValidation type="list" allowBlank="1" showInputMessage="1" showErrorMessage="1" sqref="H21 H222:H223">
      <formula1>"Yes,No"</formula1>
    </dataValidation>
    <dataValidation type="decimal" allowBlank="1" showInputMessage="1" showErrorMessage="1" error="Population in lakhs only" prompt="Population in lakh" sqref="H9:I9">
      <formula1>1</formula1>
      <formula2>1500</formula2>
    </dataValidation>
    <dataValidation type="decimal" allowBlank="1" showInputMessage="1" showErrorMessage="1" sqref="H12:I13 H16:I17">
      <formula1>0</formula1>
      <formula2>150</formula2>
    </dataValidation>
    <dataValidation type="whole" allowBlank="1" showInputMessage="1" showErrorMessage="1" sqref="H18:I19 Q21:U22">
      <formula1>0</formula1>
      <formula2>100</formula2>
    </dataValidation>
    <dataValidation type="whole" operator="greaterThanOrEqual" allowBlank="1" showInputMessage="1" showErrorMessage="1" sqref="E38:E48 D37:D48 F37:G48 H22:H28 D54:H56 I21:K28 Q18:U20 Q23:U28 E193:H194 D323:H332 E62:H67 F72:I75 B81:E81 H81 B86:I98 E104:H116 C104:C116 B122:H122 B127:H134 C149:H152 I157:K161 C176:H179 B181:C184 E181:H184 E186:H187 A218:H218 C200:H207 C229:H232 B239:H243 B250:H266 C44:C45 C272:H277">
      <formula1>0</formula1>
    </dataValidation>
    <dataValidation type="whole" operator="lessThanOrEqual" allowBlank="1" showInputMessage="1" showErrorMessage="1" sqref="E37">
      <formula1>1</formula1>
    </dataValidation>
    <dataValidation type="textLength" operator="greaterThanOrEqual" allowBlank="1" showInputMessage="1" showErrorMessage="1" sqref="H4:I4">
      <formula1>3</formula1>
    </dataValidation>
    <dataValidation type="list" allowBlank="1" showInputMessage="1" showErrorMessage="1" sqref="B40:B42">
      <formula1>"None,Solid,Liquid,LPA,Solid+LPA,Solid+Liquid+LPA,Solid+Liquid,Liquid+LPA"</formula1>
    </dataValidation>
    <dataValidation allowBlank="1" showInputMessage="1" showErrorMessage="1" promptTitle="Norms" prompt="Salary for each position will be at par with state NRHM. For those positions who are not par with NRHM ;state may propose salary for those positions" sqref="B151"/>
    <dataValidation type="whole" operator="greaterThan" allowBlank="1" showInputMessage="1" showErrorMessage="1" promptTitle="Norms" prompt="Salary for each position will be at par with state NRHM. For those positions who are not par with NRHM ;state may propose salary for those positions" sqref="B150 C168:D170 C172:D174">
      <formula1>0</formula1>
    </dataValidation>
    <dataValidation allowBlank="1" showInputMessage="1" showErrorMessage="1" promptTitle="Norms" prompt="@ 15% of the equipment cost" sqref="D191"/>
    <dataValidation type="list" allowBlank="1" showInputMessage="1" showErrorMessage="1" sqref="B6">
      <formula1>"Tribal,Urban,Rural"</formula1>
    </dataValidation>
  </dataValidations>
  <pageMargins left="0.7" right="0.7" top="0.75" bottom="0.75" header="0.3" footer="0.3"/>
  <pageSetup paperSize="9" scale="43" fitToHeight="0" orientation="landscape" r:id="rId1"/>
  <headerFooter>
    <oddFooter>&amp;L&amp;F&amp;C&amp;P</oddFooter>
  </headerFooter>
  <rowBreaks count="12" manualBreakCount="12">
    <brk id="30" max="16383" man="1"/>
    <brk id="58" max="16383" man="1"/>
    <brk id="77" max="16383" man="1"/>
    <brk id="118" max="20" man="1"/>
    <brk id="145" max="16383" man="1"/>
    <brk id="153" max="20" man="1"/>
    <brk id="196" max="16383" man="1"/>
    <brk id="245" max="20" man="1"/>
    <brk id="268" max="20" man="1"/>
    <brk id="290" max="20" man="1"/>
    <brk id="318" max="20" man="1"/>
    <brk id="335" max="20" man="1"/>
  </rowBreaks>
  <extLst>
    <ext xmlns:x14="http://schemas.microsoft.com/office/spreadsheetml/2009/9/main" uri="{CCE6A557-97BC-4b89-ADB6-D9C93CAAB3DF}">
      <x14:dataValidations xmlns:xm="http://schemas.microsoft.com/office/excel/2006/main" count="1">
        <x14:dataValidation type="list" operator="greaterThanOrEqual" allowBlank="1" showInputMessage="1" showErrorMessage="1">
          <x14:formula1>
            <xm:f>[1]List!#REF!</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view="pageBreakPreview" zoomScale="60" zoomScaleNormal="100" workbookViewId="0">
      <selection activeCell="B36" sqref="B36"/>
    </sheetView>
  </sheetViews>
  <sheetFormatPr defaultRowHeight="15" x14ac:dyDescent="0.25"/>
  <cols>
    <col min="1" max="1" width="6.28515625" customWidth="1"/>
    <col min="2" max="2" width="38.5703125" customWidth="1"/>
    <col min="3" max="3" width="97.42578125" customWidth="1"/>
  </cols>
  <sheetData>
    <row r="1" spans="1:3" ht="15.75" x14ac:dyDescent="0.25">
      <c r="A1" s="451" t="s">
        <v>704</v>
      </c>
    </row>
    <row r="2" spans="1:3" ht="15.75" thickBot="1" x14ac:dyDescent="0.3"/>
    <row r="3" spans="1:3" ht="32.25" thickBot="1" x14ac:dyDescent="0.3">
      <c r="A3" s="742" t="s">
        <v>686</v>
      </c>
      <c r="B3" s="743" t="s">
        <v>687</v>
      </c>
      <c r="C3" s="744" t="s">
        <v>688</v>
      </c>
    </row>
    <row r="4" spans="1:3" ht="16.5" thickBot="1" x14ac:dyDescent="0.3">
      <c r="A4" s="1961">
        <v>1</v>
      </c>
      <c r="B4" s="1964"/>
      <c r="C4" s="450" t="s">
        <v>689</v>
      </c>
    </row>
    <row r="5" spans="1:3" x14ac:dyDescent="0.25">
      <c r="A5" s="1962"/>
      <c r="B5" s="1965"/>
      <c r="C5" s="1967" t="s">
        <v>690</v>
      </c>
    </row>
    <row r="6" spans="1:3" ht="15.75" thickBot="1" x14ac:dyDescent="0.3">
      <c r="A6" s="1962"/>
      <c r="B6" s="1965"/>
      <c r="C6" s="1968"/>
    </row>
    <row r="7" spans="1:3" x14ac:dyDescent="0.25">
      <c r="A7" s="1962"/>
      <c r="B7" s="1965"/>
      <c r="C7" s="1967" t="s">
        <v>691</v>
      </c>
    </row>
    <row r="8" spans="1:3" ht="15.75" thickBot="1" x14ac:dyDescent="0.3">
      <c r="A8" s="1963"/>
      <c r="B8" s="1966"/>
      <c r="C8" s="1968"/>
    </row>
    <row r="9" spans="1:3" x14ac:dyDescent="0.25">
      <c r="A9" s="1961">
        <v>2</v>
      </c>
      <c r="B9" s="1964"/>
      <c r="C9" s="1967" t="s">
        <v>692</v>
      </c>
    </row>
    <row r="10" spans="1:3" ht="15.75" thickBot="1" x14ac:dyDescent="0.3">
      <c r="A10" s="1962"/>
      <c r="B10" s="1965"/>
      <c r="C10" s="1968"/>
    </row>
    <row r="11" spans="1:3" x14ac:dyDescent="0.25">
      <c r="A11" s="1962"/>
      <c r="B11" s="1965"/>
      <c r="C11" s="1967" t="s">
        <v>693</v>
      </c>
    </row>
    <row r="12" spans="1:3" ht="15.75" thickBot="1" x14ac:dyDescent="0.3">
      <c r="A12" s="1962"/>
      <c r="B12" s="1965"/>
      <c r="C12" s="1968"/>
    </row>
    <row r="13" spans="1:3" ht="16.5" thickBot="1" x14ac:dyDescent="0.3">
      <c r="A13" s="1963"/>
      <c r="B13" s="1966"/>
      <c r="C13" s="450" t="s">
        <v>694</v>
      </c>
    </row>
    <row r="14" spans="1:3" x14ac:dyDescent="0.25">
      <c r="A14" s="1961">
        <v>3</v>
      </c>
      <c r="B14" s="1964"/>
      <c r="C14" s="1967" t="s">
        <v>695</v>
      </c>
    </row>
    <row r="15" spans="1:3" ht="15.75" thickBot="1" x14ac:dyDescent="0.3">
      <c r="A15" s="1962"/>
      <c r="B15" s="1965"/>
      <c r="C15" s="1968"/>
    </row>
    <row r="16" spans="1:3" x14ac:dyDescent="0.25">
      <c r="A16" s="1962"/>
      <c r="B16" s="1965"/>
      <c r="C16" s="1967" t="s">
        <v>696</v>
      </c>
    </row>
    <row r="17" spans="1:3" ht="15.75" thickBot="1" x14ac:dyDescent="0.3">
      <c r="A17" s="1962"/>
      <c r="B17" s="1965"/>
      <c r="C17" s="1968"/>
    </row>
    <row r="18" spans="1:3" ht="16.5" thickBot="1" x14ac:dyDescent="0.3">
      <c r="A18" s="1963"/>
      <c r="B18" s="1966"/>
      <c r="C18" s="450" t="s">
        <v>697</v>
      </c>
    </row>
    <row r="19" spans="1:3" x14ac:dyDescent="0.25">
      <c r="A19" s="1961">
        <v>4</v>
      </c>
      <c r="B19" s="1964"/>
      <c r="C19" s="1967" t="s">
        <v>698</v>
      </c>
    </row>
    <row r="20" spans="1:3" ht="15.75" thickBot="1" x14ac:dyDescent="0.3">
      <c r="A20" s="1962"/>
      <c r="B20" s="1965"/>
      <c r="C20" s="1968"/>
    </row>
    <row r="21" spans="1:3" x14ac:dyDescent="0.25">
      <c r="A21" s="1962"/>
      <c r="B21" s="1965"/>
      <c r="C21" s="1967" t="s">
        <v>699</v>
      </c>
    </row>
    <row r="22" spans="1:3" ht="15.75" thickBot="1" x14ac:dyDescent="0.3">
      <c r="A22" s="1962"/>
      <c r="B22" s="1965"/>
      <c r="C22" s="1968"/>
    </row>
    <row r="23" spans="1:3" x14ac:dyDescent="0.25">
      <c r="A23" s="1962"/>
      <c r="B23" s="1965"/>
      <c r="C23" s="1967" t="s">
        <v>700</v>
      </c>
    </row>
    <row r="24" spans="1:3" ht="15.75" thickBot="1" x14ac:dyDescent="0.3">
      <c r="A24" s="1963"/>
      <c r="B24" s="1966"/>
      <c r="C24" s="1968"/>
    </row>
    <row r="25" spans="1:3" x14ac:dyDescent="0.25">
      <c r="A25" s="1961">
        <v>5</v>
      </c>
      <c r="B25" s="1964"/>
      <c r="C25" s="1967" t="s">
        <v>701</v>
      </c>
    </row>
    <row r="26" spans="1:3" ht="15.75" thickBot="1" x14ac:dyDescent="0.3">
      <c r="A26" s="1962"/>
      <c r="B26" s="1965"/>
      <c r="C26" s="1968"/>
    </row>
    <row r="27" spans="1:3" x14ac:dyDescent="0.25">
      <c r="A27" s="1962"/>
      <c r="B27" s="1965"/>
      <c r="C27" s="1967" t="s">
        <v>702</v>
      </c>
    </row>
    <row r="28" spans="1:3" ht="15.75" thickBot="1" x14ac:dyDescent="0.3">
      <c r="A28" s="1962"/>
      <c r="B28" s="1965"/>
      <c r="C28" s="1968"/>
    </row>
    <row r="29" spans="1:3" ht="16.5" thickBot="1" x14ac:dyDescent="0.3">
      <c r="A29" s="1963"/>
      <c r="B29" s="1966"/>
      <c r="C29" s="450" t="s">
        <v>703</v>
      </c>
    </row>
    <row r="30" spans="1:3" ht="18" x14ac:dyDescent="0.25">
      <c r="C30" s="452" t="s">
        <v>705</v>
      </c>
    </row>
    <row r="32" spans="1:3" ht="15.75" hidden="1" x14ac:dyDescent="0.25">
      <c r="A32" s="1971" t="s">
        <v>708</v>
      </c>
      <c r="B32" s="1971"/>
      <c r="C32" s="1971"/>
    </row>
    <row r="33" spans="1:3" ht="15.75" thickBot="1" x14ac:dyDescent="0.3"/>
    <row r="34" spans="1:3" x14ac:dyDescent="0.25">
      <c r="A34" s="1969" t="s">
        <v>706</v>
      </c>
      <c r="B34" s="1969" t="s">
        <v>525</v>
      </c>
      <c r="C34" s="1969" t="s">
        <v>707</v>
      </c>
    </row>
    <row r="35" spans="1:3" ht="15.75" thickBot="1" x14ac:dyDescent="0.3">
      <c r="A35" s="1970"/>
      <c r="B35" s="1970"/>
      <c r="C35" s="1970"/>
    </row>
    <row r="36" spans="1:3" ht="16.5" thickBot="1" x14ac:dyDescent="0.3">
      <c r="A36" s="453"/>
      <c r="B36" s="454"/>
      <c r="C36" s="454"/>
    </row>
    <row r="37" spans="1:3" ht="16.5" thickBot="1" x14ac:dyDescent="0.3">
      <c r="A37" s="453"/>
      <c r="B37" s="454"/>
      <c r="C37" s="454"/>
    </row>
    <row r="38" spans="1:3" ht="16.5" thickBot="1" x14ac:dyDescent="0.3">
      <c r="A38" s="453"/>
      <c r="B38" s="454"/>
      <c r="C38" s="454"/>
    </row>
    <row r="39" spans="1:3" ht="16.5" thickBot="1" x14ac:dyDescent="0.3">
      <c r="A39" s="453"/>
      <c r="B39" s="454"/>
      <c r="C39" s="454"/>
    </row>
    <row r="40" spans="1:3" ht="16.5" thickBot="1" x14ac:dyDescent="0.3">
      <c r="A40" s="453"/>
      <c r="B40" s="454"/>
      <c r="C40" s="454"/>
    </row>
    <row r="41" spans="1:3" ht="16.5" thickBot="1" x14ac:dyDescent="0.3">
      <c r="A41" s="453"/>
      <c r="B41" s="454"/>
      <c r="C41" s="454"/>
    </row>
    <row r="42" spans="1:3" ht="16.5" thickBot="1" x14ac:dyDescent="0.3">
      <c r="A42" s="453"/>
      <c r="B42" s="454"/>
      <c r="C42" s="454"/>
    </row>
    <row r="43" spans="1:3" ht="16.5" thickBot="1" x14ac:dyDescent="0.3">
      <c r="A43" s="453"/>
      <c r="B43" s="454"/>
      <c r="C43" s="454"/>
    </row>
    <row r="44" spans="1:3" ht="16.5" thickBot="1" x14ac:dyDescent="0.3">
      <c r="A44" s="453"/>
      <c r="B44" s="454"/>
      <c r="C44" s="454"/>
    </row>
  </sheetData>
  <mergeCells count="25">
    <mergeCell ref="A4:A8"/>
    <mergeCell ref="B4:B8"/>
    <mergeCell ref="C5:C6"/>
    <mergeCell ref="C7:C8"/>
    <mergeCell ref="A9:A13"/>
    <mergeCell ref="B9:B13"/>
    <mergeCell ref="C9:C10"/>
    <mergeCell ref="C11:C12"/>
    <mergeCell ref="A14:A18"/>
    <mergeCell ref="B14:B18"/>
    <mergeCell ref="C14:C15"/>
    <mergeCell ref="C16:C17"/>
    <mergeCell ref="A19:A24"/>
    <mergeCell ref="B19:B24"/>
    <mergeCell ref="C19:C20"/>
    <mergeCell ref="C21:C22"/>
    <mergeCell ref="C23:C24"/>
    <mergeCell ref="A25:A29"/>
    <mergeCell ref="B25:B29"/>
    <mergeCell ref="C25:C26"/>
    <mergeCell ref="C27:C28"/>
    <mergeCell ref="A34:A35"/>
    <mergeCell ref="B34:B35"/>
    <mergeCell ref="C34:C35"/>
    <mergeCell ref="A32:C32"/>
  </mergeCells>
  <pageMargins left="0.7" right="0.7" top="0.75" bottom="0.75" header="0.3" footer="0.3"/>
  <pageSetup scale="86" orientation="landscape" r:id="rId1"/>
  <rowBreaks count="1" manualBreakCount="1">
    <brk id="3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
  <sheetViews>
    <sheetView zoomScaleNormal="100" workbookViewId="0">
      <selection activeCell="B7" sqref="B7"/>
    </sheetView>
  </sheetViews>
  <sheetFormatPr defaultRowHeight="15" x14ac:dyDescent="0.25"/>
  <cols>
    <col min="2" max="2" width="16.140625" customWidth="1"/>
    <col min="3" max="3" width="13.140625" customWidth="1"/>
    <col min="22" max="22" width="11.140625" customWidth="1"/>
    <col min="23" max="23" width="10.28515625" customWidth="1"/>
    <col min="26" max="26" width="14.28515625" customWidth="1"/>
    <col min="27" max="27" width="11.5703125" customWidth="1"/>
    <col min="28" max="28" width="10.5703125" customWidth="1"/>
  </cols>
  <sheetData>
    <row r="1" spans="1:28" ht="21.75" thickBot="1" x14ac:dyDescent="0.4">
      <c r="A1" s="1972" t="s">
        <v>721</v>
      </c>
      <c r="B1" s="1972"/>
      <c r="C1" s="1972"/>
      <c r="D1" s="1972"/>
      <c r="E1" s="1972"/>
      <c r="F1" s="1972"/>
      <c r="G1" s="1972"/>
      <c r="H1" s="1972"/>
      <c r="J1" s="1973" t="s">
        <v>722</v>
      </c>
      <c r="K1" s="1973"/>
      <c r="L1" s="1973"/>
    </row>
    <row r="2" spans="1:28" ht="21" customHeight="1" x14ac:dyDescent="0.25">
      <c r="A2" s="1982" t="s">
        <v>665</v>
      </c>
      <c r="B2" s="1983"/>
      <c r="C2" s="1983"/>
      <c r="D2" s="1983"/>
      <c r="E2" s="1983"/>
      <c r="F2" s="1983"/>
      <c r="G2" s="1983"/>
      <c r="H2" s="1984"/>
      <c r="I2" s="1985" t="s">
        <v>666</v>
      </c>
      <c r="J2" s="1986"/>
      <c r="K2" s="1986"/>
      <c r="L2" s="1986"/>
      <c r="M2" s="1986"/>
      <c r="N2" s="1986"/>
      <c r="O2" s="1986"/>
      <c r="P2" s="1986"/>
      <c r="Q2" s="1986"/>
      <c r="R2" s="1987"/>
      <c r="S2" s="1988" t="s">
        <v>685</v>
      </c>
      <c r="T2" s="1989"/>
      <c r="U2" s="1989"/>
      <c r="V2" s="1989"/>
      <c r="W2" s="1989"/>
      <c r="X2" s="1989"/>
      <c r="Y2" s="1989"/>
      <c r="Z2" s="1989"/>
      <c r="AA2" s="1989"/>
      <c r="AB2" s="1990"/>
    </row>
    <row r="3" spans="1:28" ht="29.25" customHeight="1" x14ac:dyDescent="0.25">
      <c r="A3" s="1980" t="s">
        <v>208</v>
      </c>
      <c r="B3" s="1978" t="s">
        <v>656</v>
      </c>
      <c r="C3" s="1978" t="s">
        <v>657</v>
      </c>
      <c r="D3" s="1978" t="s">
        <v>658</v>
      </c>
      <c r="E3" s="1978"/>
      <c r="F3" s="1978" t="s">
        <v>659</v>
      </c>
      <c r="G3" s="1978"/>
      <c r="H3" s="1974"/>
      <c r="I3" s="1976" t="s">
        <v>667</v>
      </c>
      <c r="J3" s="1978" t="s">
        <v>668</v>
      </c>
      <c r="K3" s="1978" t="s">
        <v>669</v>
      </c>
      <c r="L3" s="1978" t="s">
        <v>670</v>
      </c>
      <c r="M3" s="1978" t="s">
        <v>671</v>
      </c>
      <c r="N3" s="1978"/>
      <c r="O3" s="1978" t="s">
        <v>672</v>
      </c>
      <c r="P3" s="1978"/>
      <c r="Q3" s="1978"/>
      <c r="R3" s="1991" t="s">
        <v>673</v>
      </c>
      <c r="S3" s="1980" t="s">
        <v>674</v>
      </c>
      <c r="T3" s="1978" t="s">
        <v>675</v>
      </c>
      <c r="U3" s="1978" t="s">
        <v>676</v>
      </c>
      <c r="V3" s="1978" t="s">
        <v>677</v>
      </c>
      <c r="W3" s="1978" t="s">
        <v>678</v>
      </c>
      <c r="X3" s="1978" t="s">
        <v>679</v>
      </c>
      <c r="Y3" s="1978"/>
      <c r="Z3" s="1978" t="s">
        <v>680</v>
      </c>
      <c r="AA3" s="1978" t="s">
        <v>681</v>
      </c>
      <c r="AB3" s="1974" t="s">
        <v>682</v>
      </c>
    </row>
    <row r="4" spans="1:28" ht="33.75" customHeight="1" x14ac:dyDescent="0.25">
      <c r="A4" s="1980"/>
      <c r="B4" s="1978"/>
      <c r="C4" s="1978"/>
      <c r="D4" s="1978"/>
      <c r="E4" s="1978"/>
      <c r="F4" s="1978"/>
      <c r="G4" s="1978"/>
      <c r="H4" s="1974"/>
      <c r="I4" s="1976"/>
      <c r="J4" s="1978"/>
      <c r="K4" s="1978"/>
      <c r="L4" s="1978"/>
      <c r="M4" s="1978"/>
      <c r="N4" s="1978"/>
      <c r="O4" s="1978"/>
      <c r="P4" s="1978"/>
      <c r="Q4" s="1978"/>
      <c r="R4" s="1991"/>
      <c r="S4" s="1980"/>
      <c r="T4" s="1978"/>
      <c r="U4" s="1978"/>
      <c r="V4" s="1978"/>
      <c r="W4" s="1978"/>
      <c r="X4" s="1978" t="s">
        <v>683</v>
      </c>
      <c r="Y4" s="1978" t="s">
        <v>684</v>
      </c>
      <c r="Z4" s="1978"/>
      <c r="AA4" s="1978"/>
      <c r="AB4" s="1974"/>
    </row>
    <row r="5" spans="1:28" ht="32.25" customHeight="1" thickBot="1" x14ac:dyDescent="0.3">
      <c r="A5" s="1981"/>
      <c r="B5" s="1979"/>
      <c r="C5" s="1979"/>
      <c r="D5" s="748" t="s">
        <v>660</v>
      </c>
      <c r="E5" s="748" t="s">
        <v>661</v>
      </c>
      <c r="F5" s="748" t="s">
        <v>662</v>
      </c>
      <c r="G5" s="748" t="s">
        <v>661</v>
      </c>
      <c r="H5" s="751" t="s">
        <v>663</v>
      </c>
      <c r="I5" s="1977"/>
      <c r="J5" s="1979"/>
      <c r="K5" s="1979"/>
      <c r="L5" s="1979"/>
      <c r="M5" s="748" t="s">
        <v>660</v>
      </c>
      <c r="N5" s="748" t="s">
        <v>661</v>
      </c>
      <c r="O5" s="748" t="s">
        <v>662</v>
      </c>
      <c r="P5" s="748" t="s">
        <v>661</v>
      </c>
      <c r="Q5" s="748" t="s">
        <v>663</v>
      </c>
      <c r="R5" s="1992"/>
      <c r="S5" s="1981"/>
      <c r="T5" s="1979"/>
      <c r="U5" s="1979"/>
      <c r="V5" s="1979"/>
      <c r="W5" s="1979"/>
      <c r="X5" s="1979"/>
      <c r="Y5" s="1979"/>
      <c r="Z5" s="1979"/>
      <c r="AA5" s="1979"/>
      <c r="AB5" s="1975"/>
    </row>
    <row r="6" spans="1:28" ht="15.75" customHeight="1" x14ac:dyDescent="0.25">
      <c r="A6" s="752">
        <v>1</v>
      </c>
      <c r="B6" s="746"/>
      <c r="C6" s="745"/>
      <c r="D6" s="745"/>
      <c r="E6" s="745"/>
      <c r="F6" s="745"/>
      <c r="G6" s="745"/>
      <c r="H6" s="753"/>
      <c r="I6" s="749"/>
      <c r="J6" s="747"/>
      <c r="K6" s="747"/>
      <c r="L6" s="747"/>
      <c r="M6" s="747"/>
      <c r="N6" s="747"/>
      <c r="O6" s="747"/>
      <c r="P6" s="747"/>
      <c r="Q6" s="747"/>
      <c r="R6" s="756"/>
      <c r="S6" s="758"/>
      <c r="T6" s="747"/>
      <c r="U6" s="747"/>
      <c r="V6" s="747"/>
      <c r="W6" s="747"/>
      <c r="X6" s="747"/>
      <c r="Y6" s="747"/>
      <c r="Z6" s="747"/>
      <c r="AA6" s="747"/>
      <c r="AB6" s="759"/>
    </row>
    <row r="7" spans="1:28" x14ac:dyDescent="0.25">
      <c r="A7" s="754">
        <v>2</v>
      </c>
      <c r="B7" s="374"/>
      <c r="C7" s="591"/>
      <c r="D7" s="591"/>
      <c r="E7" s="591"/>
      <c r="F7" s="591"/>
      <c r="G7" s="591"/>
      <c r="H7" s="755"/>
      <c r="I7" s="750"/>
      <c r="J7" s="588"/>
      <c r="K7" s="588"/>
      <c r="L7" s="588"/>
      <c r="M7" s="588"/>
      <c r="N7" s="588"/>
      <c r="O7" s="588"/>
      <c r="P7" s="588"/>
      <c r="Q7" s="588"/>
      <c r="R7" s="757"/>
      <c r="S7" s="760"/>
      <c r="T7" s="588"/>
      <c r="U7" s="588"/>
      <c r="V7" s="588"/>
      <c r="W7" s="588"/>
      <c r="X7" s="588"/>
      <c r="Y7" s="588"/>
      <c r="Z7" s="588"/>
      <c r="AA7" s="588"/>
      <c r="AB7" s="761"/>
    </row>
    <row r="8" spans="1:28" x14ac:dyDescent="0.25">
      <c r="A8" s="754">
        <v>3</v>
      </c>
      <c r="B8" s="374"/>
      <c r="C8" s="591"/>
      <c r="D8" s="591"/>
      <c r="E8" s="591"/>
      <c r="F8" s="591"/>
      <c r="G8" s="591"/>
      <c r="H8" s="755"/>
      <c r="I8" s="750"/>
      <c r="J8" s="588"/>
      <c r="K8" s="588"/>
      <c r="L8" s="588"/>
      <c r="M8" s="588"/>
      <c r="N8" s="588"/>
      <c r="O8" s="588"/>
      <c r="P8" s="588"/>
      <c r="Q8" s="588"/>
      <c r="R8" s="757"/>
      <c r="S8" s="760"/>
      <c r="T8" s="588"/>
      <c r="U8" s="588"/>
      <c r="V8" s="588"/>
      <c r="W8" s="588"/>
      <c r="X8" s="588"/>
      <c r="Y8" s="588"/>
      <c r="Z8" s="588"/>
      <c r="AA8" s="588"/>
      <c r="AB8" s="761"/>
    </row>
    <row r="9" spans="1:28" x14ac:dyDescent="0.25">
      <c r="A9" s="754">
        <v>4</v>
      </c>
      <c r="B9" s="374"/>
      <c r="C9" s="591"/>
      <c r="D9" s="591"/>
      <c r="E9" s="591"/>
      <c r="F9" s="591"/>
      <c r="G9" s="591"/>
      <c r="H9" s="755"/>
      <c r="I9" s="750"/>
      <c r="J9" s="588"/>
      <c r="K9" s="588"/>
      <c r="L9" s="588"/>
      <c r="M9" s="588"/>
      <c r="N9" s="588"/>
      <c r="O9" s="588"/>
      <c r="P9" s="588"/>
      <c r="Q9" s="588"/>
      <c r="R9" s="757"/>
      <c r="S9" s="760"/>
      <c r="T9" s="588"/>
      <c r="U9" s="588"/>
      <c r="V9" s="588"/>
      <c r="W9" s="588"/>
      <c r="X9" s="588"/>
      <c r="Y9" s="588"/>
      <c r="Z9" s="588"/>
      <c r="AA9" s="588"/>
      <c r="AB9" s="761"/>
    </row>
    <row r="10" spans="1:28" x14ac:dyDescent="0.25">
      <c r="A10" s="754">
        <v>5</v>
      </c>
      <c r="B10" s="374"/>
      <c r="C10" s="591"/>
      <c r="D10" s="591"/>
      <c r="E10" s="591"/>
      <c r="F10" s="591"/>
      <c r="G10" s="591"/>
      <c r="H10" s="755"/>
      <c r="I10" s="750"/>
      <c r="J10" s="588"/>
      <c r="K10" s="588"/>
      <c r="L10" s="588"/>
      <c r="M10" s="588"/>
      <c r="N10" s="588"/>
      <c r="O10" s="588"/>
      <c r="P10" s="588"/>
      <c r="Q10" s="588"/>
      <c r="R10" s="757"/>
      <c r="S10" s="760"/>
      <c r="T10" s="588"/>
      <c r="U10" s="588"/>
      <c r="V10" s="588"/>
      <c r="W10" s="588"/>
      <c r="X10" s="588"/>
      <c r="Y10" s="588"/>
      <c r="Z10" s="588"/>
      <c r="AA10" s="588"/>
      <c r="AB10" s="761"/>
    </row>
    <row r="11" spans="1:28" x14ac:dyDescent="0.25">
      <c r="A11" s="754">
        <v>6</v>
      </c>
      <c r="B11" s="374"/>
      <c r="C11" s="591"/>
      <c r="D11" s="591"/>
      <c r="E11" s="591"/>
      <c r="F11" s="591"/>
      <c r="G11" s="591"/>
      <c r="H11" s="755"/>
      <c r="I11" s="750"/>
      <c r="J11" s="588"/>
      <c r="K11" s="588"/>
      <c r="L11" s="588"/>
      <c r="M11" s="588"/>
      <c r="N11" s="588"/>
      <c r="O11" s="588"/>
      <c r="P11" s="588"/>
      <c r="Q11" s="588"/>
      <c r="R11" s="757"/>
      <c r="S11" s="760"/>
      <c r="T11" s="588"/>
      <c r="U11" s="588"/>
      <c r="V11" s="588"/>
      <c r="W11" s="588"/>
      <c r="X11" s="588"/>
      <c r="Y11" s="588"/>
      <c r="Z11" s="588"/>
      <c r="AA11" s="588"/>
      <c r="AB11" s="761"/>
    </row>
    <row r="12" spans="1:28" x14ac:dyDescent="0.25">
      <c r="A12" s="754">
        <v>7</v>
      </c>
      <c r="B12" s="374"/>
      <c r="C12" s="591"/>
      <c r="D12" s="591"/>
      <c r="E12" s="591"/>
      <c r="F12" s="591"/>
      <c r="G12" s="591"/>
      <c r="H12" s="755"/>
      <c r="I12" s="750"/>
      <c r="J12" s="588"/>
      <c r="K12" s="588"/>
      <c r="L12" s="588"/>
      <c r="M12" s="588"/>
      <c r="N12" s="588"/>
      <c r="O12" s="588"/>
      <c r="P12" s="588"/>
      <c r="Q12" s="588"/>
      <c r="R12" s="757"/>
      <c r="S12" s="760"/>
      <c r="T12" s="588"/>
      <c r="U12" s="588"/>
      <c r="V12" s="588"/>
      <c r="W12" s="588"/>
      <c r="X12" s="588"/>
      <c r="Y12" s="588"/>
      <c r="Z12" s="588"/>
      <c r="AA12" s="588"/>
      <c r="AB12" s="761"/>
    </row>
    <row r="13" spans="1:28" x14ac:dyDescent="0.25">
      <c r="A13" s="754">
        <v>8</v>
      </c>
      <c r="B13" s="374"/>
      <c r="C13" s="591"/>
      <c r="D13" s="591"/>
      <c r="E13" s="591"/>
      <c r="F13" s="591"/>
      <c r="G13" s="591"/>
      <c r="H13" s="755"/>
      <c r="I13" s="750"/>
      <c r="J13" s="588"/>
      <c r="K13" s="588"/>
      <c r="L13" s="588"/>
      <c r="M13" s="588"/>
      <c r="N13" s="588"/>
      <c r="O13" s="588"/>
      <c r="P13" s="588"/>
      <c r="Q13" s="588"/>
      <c r="R13" s="757"/>
      <c r="S13" s="760"/>
      <c r="T13" s="588"/>
      <c r="U13" s="588"/>
      <c r="V13" s="588"/>
      <c r="W13" s="588"/>
      <c r="X13" s="588"/>
      <c r="Y13" s="588"/>
      <c r="Z13" s="588"/>
      <c r="AA13" s="588"/>
      <c r="AB13" s="761"/>
    </row>
    <row r="14" spans="1:28" ht="15.75" thickBot="1" x14ac:dyDescent="0.3">
      <c r="A14" s="762">
        <v>9</v>
      </c>
      <c r="B14" s="763"/>
      <c r="C14" s="764"/>
      <c r="D14" s="764"/>
      <c r="E14" s="764"/>
      <c r="F14" s="764"/>
      <c r="G14" s="764"/>
      <c r="H14" s="765"/>
      <c r="I14" s="766"/>
      <c r="J14" s="767"/>
      <c r="K14" s="767"/>
      <c r="L14" s="767"/>
      <c r="M14" s="767"/>
      <c r="N14" s="767"/>
      <c r="O14" s="767"/>
      <c r="P14" s="767"/>
      <c r="Q14" s="767"/>
      <c r="R14" s="768"/>
      <c r="S14" s="769"/>
      <c r="T14" s="767"/>
      <c r="U14" s="767"/>
      <c r="V14" s="767"/>
      <c r="W14" s="767"/>
      <c r="X14" s="767"/>
      <c r="Y14" s="767"/>
      <c r="Z14" s="767"/>
      <c r="AA14" s="767"/>
      <c r="AB14" s="770"/>
    </row>
    <row r="15" spans="1:28" ht="15.75" thickBot="1" x14ac:dyDescent="0.3">
      <c r="A15" s="771"/>
      <c r="B15" s="772" t="s">
        <v>664</v>
      </c>
      <c r="C15" s="773"/>
      <c r="D15" s="773"/>
      <c r="E15" s="773"/>
      <c r="F15" s="773"/>
      <c r="G15" s="773"/>
      <c r="H15" s="774"/>
      <c r="I15" s="775"/>
      <c r="J15" s="776"/>
      <c r="K15" s="776"/>
      <c r="L15" s="776"/>
      <c r="M15" s="776"/>
      <c r="N15" s="776"/>
      <c r="O15" s="776"/>
      <c r="P15" s="776"/>
      <c r="Q15" s="776"/>
      <c r="R15" s="777"/>
      <c r="S15" s="778"/>
      <c r="T15" s="776"/>
      <c r="U15" s="776"/>
      <c r="V15" s="776"/>
      <c r="W15" s="776"/>
      <c r="X15" s="776"/>
      <c r="Y15" s="776"/>
      <c r="Z15" s="776"/>
      <c r="AA15" s="776"/>
      <c r="AB15" s="779"/>
    </row>
  </sheetData>
  <mergeCells count="28">
    <mergeCell ref="I2:R2"/>
    <mergeCell ref="S2:AB2"/>
    <mergeCell ref="A3:A5"/>
    <mergeCell ref="B3:B5"/>
    <mergeCell ref="C3:C5"/>
    <mergeCell ref="D3:E4"/>
    <mergeCell ref="F3:H4"/>
    <mergeCell ref="U3:U5"/>
    <mergeCell ref="V3:V5"/>
    <mergeCell ref="W3:W5"/>
    <mergeCell ref="O3:Q4"/>
    <mergeCell ref="R3:R5"/>
    <mergeCell ref="A1:H1"/>
    <mergeCell ref="J1:L1"/>
    <mergeCell ref="AB3:AB5"/>
    <mergeCell ref="I3:I5"/>
    <mergeCell ref="J3:J5"/>
    <mergeCell ref="K3:K5"/>
    <mergeCell ref="L3:L5"/>
    <mergeCell ref="M3:N4"/>
    <mergeCell ref="X3:Y3"/>
    <mergeCell ref="X4:X5"/>
    <mergeCell ref="Y4:Y5"/>
    <mergeCell ref="Z3:Z5"/>
    <mergeCell ref="AA3:AA5"/>
    <mergeCell ref="S3:S5"/>
    <mergeCell ref="T3:T5"/>
    <mergeCell ref="A2:H2"/>
  </mergeCells>
  <pageMargins left="0.70866141732283472" right="0.70866141732283472" top="0.74803149606299213" bottom="0.74803149606299213" header="0.31496062992125984" footer="0.31496062992125984"/>
  <pageSetup scale="94" orientation="landscape" r:id="rId1"/>
  <colBreaks count="2" manualBreakCount="2">
    <brk id="8" max="1048575" man="1"/>
    <brk id="18" max="1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workbookViewId="0">
      <pane xSplit="2" ySplit="5" topLeftCell="C12" activePane="bottomRight" state="frozen"/>
      <selection pane="topRight" activeCell="C1" sqref="C1"/>
      <selection pane="bottomLeft" activeCell="A6" sqref="A6"/>
      <selection pane="bottomRight" activeCell="M10" sqref="M10"/>
    </sheetView>
  </sheetViews>
  <sheetFormatPr defaultRowHeight="15" x14ac:dyDescent="0.25"/>
  <cols>
    <col min="2" max="2" width="34.5703125" customWidth="1"/>
    <col min="11" max="11" width="11.85546875" customWidth="1"/>
    <col min="15" max="15" width="14" customWidth="1"/>
  </cols>
  <sheetData>
    <row r="1" spans="1:19" s="170" customFormat="1" ht="15" customHeight="1" x14ac:dyDescent="0.25">
      <c r="A1" s="1993" t="s">
        <v>233</v>
      </c>
      <c r="B1" s="1993"/>
      <c r="C1" s="2004" t="e">
        <f>#REF!</f>
        <v>#REF!</v>
      </c>
      <c r="D1" s="2004"/>
      <c r="E1" s="2004"/>
      <c r="O1" s="171"/>
    </row>
    <row r="2" spans="1:19" s="170" customFormat="1" ht="15.75" customHeight="1" x14ac:dyDescent="0.25">
      <c r="A2" s="1993" t="s">
        <v>234</v>
      </c>
      <c r="B2" s="1993"/>
      <c r="O2" s="171"/>
    </row>
    <row r="3" spans="1:19" s="172" customFormat="1" ht="18" customHeight="1" x14ac:dyDescent="0.25">
      <c r="A3" s="2000" t="s">
        <v>208</v>
      </c>
      <c r="B3" s="2001" t="s">
        <v>240</v>
      </c>
      <c r="C3" s="1996" t="s">
        <v>955</v>
      </c>
      <c r="D3" s="1997"/>
      <c r="E3" s="1997"/>
      <c r="F3" s="1997"/>
      <c r="G3" s="1997"/>
      <c r="H3" s="1997"/>
      <c r="I3" s="1998"/>
      <c r="J3" s="1996" t="s">
        <v>956</v>
      </c>
      <c r="K3" s="1997"/>
      <c r="L3" s="1997"/>
      <c r="M3" s="1997"/>
      <c r="N3" s="1998"/>
      <c r="O3" s="1994" t="s">
        <v>209</v>
      </c>
      <c r="R3" s="1999" t="s">
        <v>718</v>
      </c>
      <c r="S3" s="1999"/>
    </row>
    <row r="4" spans="1:19" s="172" customFormat="1" ht="18" customHeight="1" x14ac:dyDescent="0.25">
      <c r="A4" s="2000"/>
      <c r="B4" s="2002"/>
      <c r="C4" s="1995" t="s">
        <v>210</v>
      </c>
      <c r="D4" s="1995"/>
      <c r="E4" s="1995"/>
      <c r="F4" s="1996" t="s">
        <v>211</v>
      </c>
      <c r="G4" s="1997"/>
      <c r="H4" s="1997"/>
      <c r="I4" s="1998"/>
      <c r="J4" s="1996" t="s">
        <v>230</v>
      </c>
      <c r="K4" s="1997"/>
      <c r="L4" s="1997"/>
      <c r="M4" s="1998"/>
      <c r="N4" s="780" t="s">
        <v>232</v>
      </c>
      <c r="O4" s="1994"/>
      <c r="R4" s="1999"/>
      <c r="S4" s="1999"/>
    </row>
    <row r="5" spans="1:19" s="172" customFormat="1" ht="57.75" customHeight="1" x14ac:dyDescent="0.25">
      <c r="A5" s="2000"/>
      <c r="B5" s="2003"/>
      <c r="C5" s="780" t="s">
        <v>235</v>
      </c>
      <c r="D5" s="781" t="s">
        <v>236</v>
      </c>
      <c r="E5" s="780" t="s">
        <v>47</v>
      </c>
      <c r="F5" s="780" t="s">
        <v>228</v>
      </c>
      <c r="G5" s="781" t="s">
        <v>229</v>
      </c>
      <c r="H5" s="780" t="s">
        <v>47</v>
      </c>
      <c r="I5" s="782" t="s">
        <v>562</v>
      </c>
      <c r="J5" s="782" t="s">
        <v>536</v>
      </c>
      <c r="K5" s="782" t="s">
        <v>237</v>
      </c>
      <c r="L5" s="782" t="s">
        <v>238</v>
      </c>
      <c r="M5" s="782" t="s">
        <v>239</v>
      </c>
      <c r="N5" s="782" t="s">
        <v>231</v>
      </c>
      <c r="O5" s="1994"/>
      <c r="R5" s="463" t="s">
        <v>719</v>
      </c>
      <c r="S5" s="463" t="s">
        <v>720</v>
      </c>
    </row>
    <row r="6" spans="1:19" s="172" customFormat="1" ht="15.75" x14ac:dyDescent="0.25">
      <c r="A6" s="783"/>
      <c r="B6" s="784" t="s">
        <v>241</v>
      </c>
      <c r="C6" s="785"/>
      <c r="D6" s="786"/>
      <c r="E6" s="785"/>
      <c r="F6" s="785"/>
      <c r="G6" s="786"/>
      <c r="H6" s="785"/>
      <c r="I6" s="785"/>
      <c r="J6" s="785"/>
      <c r="K6" s="785"/>
      <c r="L6" s="785"/>
      <c r="M6" s="785"/>
      <c r="N6" s="785"/>
      <c r="O6" s="787"/>
      <c r="R6" s="463"/>
      <c r="S6" s="463"/>
    </row>
    <row r="7" spans="1:19" ht="15.75" thickBot="1" x14ac:dyDescent="0.3">
      <c r="B7" s="363" t="s">
        <v>538</v>
      </c>
      <c r="C7" s="557"/>
      <c r="D7" s="557"/>
      <c r="E7" s="557"/>
      <c r="F7" s="557"/>
      <c r="G7" s="557"/>
      <c r="H7" s="557"/>
      <c r="I7" s="557"/>
      <c r="J7" s="557"/>
      <c r="K7" s="557"/>
      <c r="L7" s="557"/>
      <c r="M7" s="557"/>
      <c r="N7" s="557"/>
      <c r="O7" s="166"/>
      <c r="R7" s="166"/>
      <c r="S7" s="166"/>
    </row>
    <row r="8" spans="1:19" ht="30.75" thickBot="1" x14ac:dyDescent="0.3">
      <c r="A8" s="166">
        <v>1</v>
      </c>
      <c r="B8" s="365" t="s">
        <v>539</v>
      </c>
      <c r="C8" s="178"/>
      <c r="D8" s="178"/>
      <c r="E8" s="178"/>
      <c r="F8" s="178"/>
      <c r="G8" s="178"/>
      <c r="H8" s="178"/>
      <c r="I8" s="178"/>
      <c r="J8" s="178"/>
      <c r="K8" s="178"/>
      <c r="L8" s="178"/>
      <c r="M8" s="178"/>
      <c r="N8" s="178"/>
      <c r="O8" s="166"/>
      <c r="R8" s="464"/>
      <c r="S8" s="166"/>
    </row>
    <row r="9" spans="1:19" ht="16.5" thickBot="1" x14ac:dyDescent="0.3">
      <c r="A9" s="166">
        <v>2</v>
      </c>
      <c r="B9" s="366" t="s">
        <v>540</v>
      </c>
      <c r="C9" s="178"/>
      <c r="D9" s="178"/>
      <c r="E9" s="178"/>
      <c r="F9" s="178"/>
      <c r="G9" s="178"/>
      <c r="H9" s="178"/>
      <c r="I9" s="178"/>
      <c r="J9" s="178"/>
      <c r="K9" s="178"/>
      <c r="L9" s="178"/>
      <c r="M9" s="178"/>
      <c r="N9" s="178"/>
      <c r="O9" s="166"/>
      <c r="R9" s="464"/>
      <c r="S9" s="166"/>
    </row>
    <row r="10" spans="1:19" ht="16.5" thickBot="1" x14ac:dyDescent="0.3">
      <c r="A10" s="166">
        <v>3</v>
      </c>
      <c r="B10" s="366" t="s">
        <v>541</v>
      </c>
      <c r="C10" s="178"/>
      <c r="D10" s="178"/>
      <c r="E10" s="178"/>
      <c r="F10" s="178"/>
      <c r="G10" s="178"/>
      <c r="H10" s="178"/>
      <c r="I10" s="178"/>
      <c r="J10" s="178"/>
      <c r="K10" s="178"/>
      <c r="L10" s="178"/>
      <c r="M10" s="178"/>
      <c r="N10" s="178"/>
      <c r="O10" s="166"/>
      <c r="R10" s="464"/>
      <c r="S10" s="166"/>
    </row>
    <row r="11" spans="1:19" ht="16.5" thickBot="1" x14ac:dyDescent="0.3">
      <c r="A11" s="166">
        <v>4</v>
      </c>
      <c r="B11" s="366" t="s">
        <v>542</v>
      </c>
      <c r="C11" s="178"/>
      <c r="D11" s="178"/>
      <c r="E11" s="178"/>
      <c r="F11" s="178"/>
      <c r="G11" s="178"/>
      <c r="H11" s="178"/>
      <c r="I11" s="178"/>
      <c r="J11" s="178"/>
      <c r="K11" s="178"/>
      <c r="L11" s="178"/>
      <c r="M11" s="178"/>
      <c r="N11" s="178"/>
      <c r="O11" s="166"/>
      <c r="R11" s="464"/>
      <c r="S11" s="166"/>
    </row>
    <row r="12" spans="1:19" ht="16.5" thickBot="1" x14ac:dyDescent="0.3">
      <c r="A12" s="166">
        <v>5</v>
      </c>
      <c r="B12" s="366" t="s">
        <v>543</v>
      </c>
      <c r="C12" s="178"/>
      <c r="D12" s="178"/>
      <c r="E12" s="178"/>
      <c r="F12" s="178"/>
      <c r="G12" s="178"/>
      <c r="H12" s="178"/>
      <c r="I12" s="178"/>
      <c r="J12" s="178"/>
      <c r="K12" s="178"/>
      <c r="L12" s="178"/>
      <c r="M12" s="178"/>
      <c r="N12" s="178"/>
      <c r="O12" s="166"/>
      <c r="R12" s="464"/>
      <c r="S12" s="166"/>
    </row>
    <row r="13" spans="1:19" ht="16.5" thickBot="1" x14ac:dyDescent="0.3">
      <c r="A13" s="166">
        <v>6</v>
      </c>
      <c r="B13" s="366" t="s">
        <v>544</v>
      </c>
      <c r="C13" s="178"/>
      <c r="D13" s="178"/>
      <c r="E13" s="178"/>
      <c r="F13" s="178"/>
      <c r="G13" s="178"/>
      <c r="H13" s="178"/>
      <c r="I13" s="178"/>
      <c r="J13" s="178"/>
      <c r="K13" s="178"/>
      <c r="L13" s="178"/>
      <c r="M13" s="178"/>
      <c r="N13" s="178"/>
      <c r="O13" s="166"/>
      <c r="R13" s="464"/>
      <c r="S13" s="166"/>
    </row>
    <row r="14" spans="1:19" ht="16.5" thickBot="1" x14ac:dyDescent="0.3">
      <c r="A14" s="166">
        <v>7</v>
      </c>
      <c r="B14" s="366" t="s">
        <v>545</v>
      </c>
      <c r="C14" s="178"/>
      <c r="D14" s="178"/>
      <c r="E14" s="178"/>
      <c r="F14" s="178"/>
      <c r="G14" s="178"/>
      <c r="H14" s="178"/>
      <c r="I14" s="178"/>
      <c r="J14" s="178"/>
      <c r="K14" s="178"/>
      <c r="L14" s="178"/>
      <c r="M14" s="178"/>
      <c r="N14" s="178"/>
      <c r="O14" s="166"/>
      <c r="R14" s="464"/>
      <c r="S14" s="166"/>
    </row>
    <row r="15" spans="1:19" ht="16.5" thickBot="1" x14ac:dyDescent="0.3">
      <c r="A15" s="166">
        <v>8</v>
      </c>
      <c r="B15" s="366" t="s">
        <v>546</v>
      </c>
      <c r="C15" s="178"/>
      <c r="D15" s="178"/>
      <c r="E15" s="178"/>
      <c r="F15" s="178"/>
      <c r="G15" s="178"/>
      <c r="H15" s="178"/>
      <c r="I15" s="178"/>
      <c r="J15" s="178"/>
      <c r="K15" s="178"/>
      <c r="L15" s="178"/>
      <c r="M15" s="178"/>
      <c r="N15" s="178"/>
      <c r="O15" s="166"/>
      <c r="R15" s="464"/>
      <c r="S15" s="166"/>
    </row>
    <row r="16" spans="1:19" ht="16.5" thickBot="1" x14ac:dyDescent="0.3">
      <c r="A16" s="166">
        <v>9</v>
      </c>
      <c r="B16" s="366" t="s">
        <v>547</v>
      </c>
      <c r="C16" s="178"/>
      <c r="D16" s="178"/>
      <c r="E16" s="178"/>
      <c r="F16" s="178"/>
      <c r="G16" s="178"/>
      <c r="H16" s="178"/>
      <c r="I16" s="178"/>
      <c r="J16" s="178"/>
      <c r="K16" s="178"/>
      <c r="L16" s="178"/>
      <c r="M16" s="178"/>
      <c r="N16" s="178"/>
      <c r="O16" s="166"/>
      <c r="R16" s="464"/>
      <c r="S16" s="166"/>
    </row>
    <row r="17" spans="1:19" ht="16.5" thickBot="1" x14ac:dyDescent="0.3">
      <c r="A17" s="166">
        <v>10</v>
      </c>
      <c r="B17" s="366" t="s">
        <v>548</v>
      </c>
      <c r="C17" s="178"/>
      <c r="D17" s="178"/>
      <c r="E17" s="178"/>
      <c r="F17" s="178"/>
      <c r="G17" s="178"/>
      <c r="H17" s="178"/>
      <c r="I17" s="178"/>
      <c r="J17" s="178"/>
      <c r="K17" s="178"/>
      <c r="L17" s="178"/>
      <c r="M17" s="178"/>
      <c r="N17" s="178"/>
      <c r="O17" s="166"/>
      <c r="R17" s="464"/>
      <c r="S17" s="166"/>
    </row>
    <row r="18" spans="1:19" ht="21.75" customHeight="1" thickBot="1" x14ac:dyDescent="0.3">
      <c r="A18" s="166">
        <v>11</v>
      </c>
      <c r="B18" s="366" t="s">
        <v>549</v>
      </c>
      <c r="C18" s="178"/>
      <c r="D18" s="178"/>
      <c r="E18" s="178"/>
      <c r="F18" s="178"/>
      <c r="G18" s="178"/>
      <c r="H18" s="178"/>
      <c r="I18" s="178"/>
      <c r="J18" s="178"/>
      <c r="K18" s="178"/>
      <c r="L18" s="178"/>
      <c r="M18" s="178"/>
      <c r="N18" s="178"/>
      <c r="O18" s="166"/>
      <c r="R18" s="465"/>
      <c r="S18" s="166"/>
    </row>
    <row r="19" spans="1:19" ht="16.5" thickBot="1" x14ac:dyDescent="0.3">
      <c r="A19" s="166">
        <v>12</v>
      </c>
      <c r="B19" s="366" t="s">
        <v>550</v>
      </c>
      <c r="C19" s="178"/>
      <c r="D19" s="178"/>
      <c r="E19" s="178"/>
      <c r="F19" s="178"/>
      <c r="G19" s="178"/>
      <c r="H19" s="178"/>
      <c r="I19" s="178"/>
      <c r="J19" s="178"/>
      <c r="K19" s="178"/>
      <c r="L19" s="178"/>
      <c r="M19" s="178"/>
      <c r="N19" s="178"/>
      <c r="O19" s="166"/>
      <c r="R19" s="466"/>
      <c r="S19" s="166"/>
    </row>
    <row r="20" spans="1:19" ht="16.5" thickBot="1" x14ac:dyDescent="0.3">
      <c r="A20" s="166">
        <v>13</v>
      </c>
      <c r="B20" s="366" t="s">
        <v>551</v>
      </c>
      <c r="C20" s="178"/>
      <c r="D20" s="178"/>
      <c r="E20" s="178"/>
      <c r="F20" s="178"/>
      <c r="G20" s="178"/>
      <c r="H20" s="178"/>
      <c r="I20" s="178"/>
      <c r="J20" s="178"/>
      <c r="K20" s="178"/>
      <c r="L20" s="178"/>
      <c r="M20" s="178"/>
      <c r="N20" s="178"/>
      <c r="O20" s="166"/>
      <c r="R20" s="464"/>
      <c r="S20" s="166"/>
    </row>
    <row r="21" spans="1:19" ht="16.5" thickBot="1" x14ac:dyDescent="0.3">
      <c r="A21" s="166">
        <v>14</v>
      </c>
      <c r="B21" s="367" t="s">
        <v>552</v>
      </c>
      <c r="C21" s="178"/>
      <c r="D21" s="178"/>
      <c r="E21" s="178"/>
      <c r="F21" s="178"/>
      <c r="G21" s="178"/>
      <c r="H21" s="178"/>
      <c r="I21" s="178"/>
      <c r="J21" s="178"/>
      <c r="K21" s="178"/>
      <c r="L21" s="178"/>
      <c r="M21" s="178"/>
      <c r="N21" s="178"/>
      <c r="O21" s="166"/>
      <c r="R21" s="466"/>
      <c r="S21" s="166"/>
    </row>
    <row r="22" spans="1:19" ht="16.5" thickBot="1" x14ac:dyDescent="0.3">
      <c r="A22" s="166">
        <v>15</v>
      </c>
      <c r="B22" s="367" t="s">
        <v>553</v>
      </c>
      <c r="C22" s="178"/>
      <c r="D22" s="178"/>
      <c r="E22" s="178"/>
      <c r="F22" s="178"/>
      <c r="G22" s="178"/>
      <c r="H22" s="178"/>
      <c r="I22" s="178"/>
      <c r="J22" s="178"/>
      <c r="K22" s="178"/>
      <c r="L22" s="178"/>
      <c r="M22" s="178"/>
      <c r="N22" s="178"/>
      <c r="O22" s="166"/>
      <c r="R22" s="464"/>
      <c r="S22" s="166"/>
    </row>
    <row r="23" spans="1:19" ht="16.5" thickBot="1" x14ac:dyDescent="0.3">
      <c r="A23" s="166">
        <v>16</v>
      </c>
      <c r="B23" s="367" t="s">
        <v>554</v>
      </c>
      <c r="C23" s="178"/>
      <c r="D23" s="178"/>
      <c r="E23" s="178"/>
      <c r="F23" s="178"/>
      <c r="G23" s="178"/>
      <c r="H23" s="178"/>
      <c r="I23" s="178"/>
      <c r="J23" s="178"/>
      <c r="K23" s="178"/>
      <c r="L23" s="178"/>
      <c r="M23" s="178"/>
      <c r="N23" s="178"/>
      <c r="O23" s="166"/>
      <c r="R23" s="464"/>
      <c r="S23" s="166"/>
    </row>
    <row r="24" spans="1:19" ht="16.5" thickBot="1" x14ac:dyDescent="0.3">
      <c r="A24" s="166">
        <v>17</v>
      </c>
      <c r="B24" s="367" t="s">
        <v>555</v>
      </c>
      <c r="C24" s="178"/>
      <c r="D24" s="178"/>
      <c r="E24" s="178"/>
      <c r="F24" s="178"/>
      <c r="G24" s="178"/>
      <c r="H24" s="178"/>
      <c r="I24" s="178"/>
      <c r="J24" s="178"/>
      <c r="K24" s="178"/>
      <c r="L24" s="178"/>
      <c r="M24" s="178"/>
      <c r="N24" s="178"/>
      <c r="O24" s="166"/>
      <c r="R24" s="464"/>
      <c r="S24" s="166"/>
    </row>
    <row r="25" spans="1:19" ht="16.5" thickBot="1" x14ac:dyDescent="0.3">
      <c r="A25" s="166">
        <v>18</v>
      </c>
      <c r="B25" s="367" t="s">
        <v>556</v>
      </c>
      <c r="C25" s="178"/>
      <c r="D25" s="178"/>
      <c r="E25" s="178"/>
      <c r="F25" s="178"/>
      <c r="G25" s="178"/>
      <c r="H25" s="178"/>
      <c r="I25" s="178"/>
      <c r="J25" s="178"/>
      <c r="K25" s="178"/>
      <c r="L25" s="178"/>
      <c r="M25" s="178"/>
      <c r="N25" s="178"/>
      <c r="O25" s="166"/>
      <c r="R25" s="466"/>
      <c r="S25" s="166"/>
    </row>
    <row r="26" spans="1:19" ht="16.5" thickBot="1" x14ac:dyDescent="0.3">
      <c r="A26" s="166">
        <v>19</v>
      </c>
      <c r="B26" s="367" t="s">
        <v>557</v>
      </c>
      <c r="C26" s="178"/>
      <c r="D26" s="178"/>
      <c r="E26" s="178"/>
      <c r="F26" s="178"/>
      <c r="G26" s="178"/>
      <c r="H26" s="178"/>
      <c r="I26" s="178"/>
      <c r="J26" s="178"/>
      <c r="K26" s="178"/>
      <c r="L26" s="178"/>
      <c r="M26" s="178"/>
      <c r="N26" s="178"/>
      <c r="O26" s="166"/>
      <c r="R26" s="464"/>
      <c r="S26" s="166"/>
    </row>
    <row r="27" spans="1:19" ht="15.75" x14ac:dyDescent="0.25">
      <c r="A27" s="166">
        <v>20</v>
      </c>
      <c r="B27" s="173" t="s">
        <v>558</v>
      </c>
      <c r="C27" s="178"/>
      <c r="D27" s="178"/>
      <c r="E27" s="178"/>
      <c r="F27" s="178"/>
      <c r="G27" s="178"/>
      <c r="H27" s="178"/>
      <c r="I27" s="178"/>
      <c r="J27" s="178"/>
      <c r="K27" s="178"/>
      <c r="L27" s="178"/>
      <c r="M27" s="178"/>
      <c r="N27" s="178"/>
      <c r="O27" s="166"/>
      <c r="R27" s="464"/>
      <c r="S27" s="166"/>
    </row>
    <row r="28" spans="1:19" x14ac:dyDescent="0.25">
      <c r="A28" s="166">
        <v>21</v>
      </c>
      <c r="B28" s="173" t="s">
        <v>559</v>
      </c>
      <c r="C28" s="178"/>
      <c r="D28" s="178"/>
      <c r="E28" s="178"/>
      <c r="F28" s="178"/>
      <c r="G28" s="178"/>
      <c r="H28" s="178"/>
      <c r="I28" s="178"/>
      <c r="J28" s="178"/>
      <c r="K28" s="178"/>
      <c r="L28" s="178"/>
      <c r="M28" s="178"/>
      <c r="N28" s="178"/>
      <c r="O28" s="166"/>
      <c r="R28" s="166"/>
      <c r="S28" s="166"/>
    </row>
    <row r="29" spans="1:19" x14ac:dyDescent="0.25">
      <c r="A29" s="166">
        <v>22</v>
      </c>
      <c r="B29" s="173" t="s">
        <v>560</v>
      </c>
      <c r="C29" s="178"/>
      <c r="D29" s="178"/>
      <c r="E29" s="178"/>
      <c r="F29" s="178"/>
      <c r="G29" s="178"/>
      <c r="H29" s="178"/>
      <c r="I29" s="178"/>
      <c r="J29" s="178"/>
      <c r="K29" s="178"/>
      <c r="L29" s="178"/>
      <c r="M29" s="178"/>
      <c r="N29" s="178"/>
      <c r="O29" s="166"/>
      <c r="R29" s="166"/>
      <c r="S29" s="166"/>
    </row>
    <row r="30" spans="1:19" x14ac:dyDescent="0.25">
      <c r="A30" s="166">
        <v>23</v>
      </c>
      <c r="B30" s="173" t="s">
        <v>182</v>
      </c>
      <c r="C30" s="178"/>
      <c r="D30" s="178"/>
      <c r="E30" s="178"/>
      <c r="F30" s="178"/>
      <c r="G30" s="178"/>
      <c r="H30" s="178"/>
      <c r="I30" s="178"/>
      <c r="J30" s="178"/>
      <c r="K30" s="178"/>
      <c r="L30" s="178"/>
      <c r="M30" s="178"/>
      <c r="N30" s="178"/>
      <c r="O30" s="166"/>
      <c r="R30" s="166"/>
      <c r="S30" s="166"/>
    </row>
    <row r="31" spans="1:19" x14ac:dyDescent="0.25">
      <c r="A31" s="166">
        <v>24</v>
      </c>
      <c r="B31" s="173" t="s">
        <v>182</v>
      </c>
      <c r="C31" s="178"/>
      <c r="D31" s="178"/>
      <c r="E31" s="178"/>
      <c r="F31" s="178"/>
      <c r="G31" s="178"/>
      <c r="H31" s="178"/>
      <c r="I31" s="178"/>
      <c r="J31" s="178"/>
      <c r="K31" s="178"/>
      <c r="L31" s="178"/>
      <c r="M31" s="178"/>
      <c r="N31" s="178"/>
      <c r="O31" s="166"/>
      <c r="R31" s="166"/>
      <c r="S31" s="166"/>
    </row>
    <row r="32" spans="1:19" x14ac:dyDescent="0.25">
      <c r="A32" s="166">
        <v>25</v>
      </c>
      <c r="B32" s="173" t="s">
        <v>182</v>
      </c>
      <c r="C32" s="178"/>
      <c r="D32" s="178"/>
      <c r="E32" s="178"/>
      <c r="F32" s="178"/>
      <c r="G32" s="178"/>
      <c r="H32" s="178"/>
      <c r="I32" s="178"/>
      <c r="J32" s="178"/>
      <c r="K32" s="178"/>
      <c r="L32" s="178"/>
      <c r="M32" s="178"/>
      <c r="N32" s="178"/>
      <c r="O32" s="166"/>
      <c r="R32" s="166"/>
      <c r="S32" s="166"/>
    </row>
    <row r="33" spans="1:19" x14ac:dyDescent="0.25">
      <c r="A33" s="166">
        <v>26</v>
      </c>
      <c r="B33" s="173" t="s">
        <v>182</v>
      </c>
      <c r="C33" s="178"/>
      <c r="D33" s="178"/>
      <c r="E33" s="178"/>
      <c r="F33" s="178"/>
      <c r="G33" s="178"/>
      <c r="H33" s="178"/>
      <c r="I33" s="178"/>
      <c r="J33" s="178"/>
      <c r="K33" s="178"/>
      <c r="L33" s="178"/>
      <c r="M33" s="178"/>
      <c r="N33" s="178"/>
      <c r="O33" s="166"/>
      <c r="R33" s="166"/>
      <c r="S33" s="166"/>
    </row>
    <row r="34" spans="1:19" x14ac:dyDescent="0.25">
      <c r="A34" s="166"/>
      <c r="B34" s="173" t="s">
        <v>561</v>
      </c>
      <c r="C34" s="633">
        <f t="shared" ref="C34:N34" si="0">SUM(C8:C33)</f>
        <v>0</v>
      </c>
      <c r="D34" s="633">
        <f t="shared" si="0"/>
        <v>0</v>
      </c>
      <c r="E34" s="633">
        <f t="shared" si="0"/>
        <v>0</v>
      </c>
      <c r="F34" s="633">
        <f t="shared" si="0"/>
        <v>0</v>
      </c>
      <c r="G34" s="633">
        <f t="shared" si="0"/>
        <v>0</v>
      </c>
      <c r="H34" s="633">
        <f t="shared" si="0"/>
        <v>0</v>
      </c>
      <c r="I34" s="633">
        <f t="shared" si="0"/>
        <v>0</v>
      </c>
      <c r="J34" s="633">
        <f t="shared" si="0"/>
        <v>0</v>
      </c>
      <c r="K34" s="633">
        <f t="shared" si="0"/>
        <v>0</v>
      </c>
      <c r="L34" s="633">
        <f t="shared" si="0"/>
        <v>0</v>
      </c>
      <c r="M34" s="633">
        <f t="shared" si="0"/>
        <v>0</v>
      </c>
      <c r="N34" s="633">
        <f t="shared" si="0"/>
        <v>0</v>
      </c>
      <c r="O34" s="633"/>
      <c r="R34" s="166"/>
      <c r="S34" s="166"/>
    </row>
    <row r="35" spans="1:19" ht="18" x14ac:dyDescent="0.25">
      <c r="A35" s="166"/>
      <c r="B35" s="590" t="s">
        <v>537</v>
      </c>
      <c r="C35" s="788"/>
      <c r="D35" s="557"/>
      <c r="E35" s="557"/>
      <c r="F35" s="557"/>
      <c r="G35" s="557"/>
      <c r="H35" s="557"/>
      <c r="I35" s="557"/>
      <c r="J35" s="557"/>
      <c r="K35" s="557"/>
      <c r="L35" s="557"/>
      <c r="M35" s="557"/>
      <c r="N35" s="557"/>
      <c r="O35" s="166"/>
      <c r="R35" s="166"/>
      <c r="S35" s="166"/>
    </row>
    <row r="36" spans="1:19" x14ac:dyDescent="0.25">
      <c r="A36" s="166"/>
      <c r="B36" s="589" t="s">
        <v>853</v>
      </c>
      <c r="C36" s="788"/>
      <c r="D36" s="557"/>
      <c r="E36" s="557"/>
      <c r="F36" s="557"/>
      <c r="G36" s="557"/>
      <c r="H36" s="557"/>
      <c r="I36" s="557"/>
      <c r="J36" s="557"/>
      <c r="K36" s="557"/>
      <c r="L36" s="557"/>
      <c r="M36" s="557"/>
      <c r="N36" s="557"/>
      <c r="O36" s="166"/>
      <c r="R36" s="166"/>
      <c r="S36" s="166"/>
    </row>
    <row r="37" spans="1:19" x14ac:dyDescent="0.25">
      <c r="A37" s="166">
        <v>1</v>
      </c>
      <c r="B37" s="173" t="s">
        <v>212</v>
      </c>
      <c r="C37" s="178"/>
      <c r="D37" s="178"/>
      <c r="E37" s="178"/>
      <c r="F37" s="178"/>
      <c r="G37" s="178"/>
      <c r="H37" s="178"/>
      <c r="I37" s="178"/>
      <c r="J37" s="178"/>
      <c r="K37" s="178"/>
      <c r="L37" s="178"/>
      <c r="M37" s="178"/>
      <c r="N37" s="178"/>
      <c r="O37" s="166"/>
      <c r="R37" s="166"/>
      <c r="S37" s="166"/>
    </row>
    <row r="38" spans="1:19" x14ac:dyDescent="0.25">
      <c r="A38" s="166">
        <v>2</v>
      </c>
      <c r="B38" s="173" t="s">
        <v>213</v>
      </c>
      <c r="C38" s="178"/>
      <c r="D38" s="178"/>
      <c r="E38" s="178"/>
      <c r="F38" s="178"/>
      <c r="G38" s="178"/>
      <c r="H38" s="178"/>
      <c r="I38" s="178"/>
      <c r="J38" s="178"/>
      <c r="K38" s="178"/>
      <c r="L38" s="178"/>
      <c r="M38" s="178"/>
      <c r="N38" s="178"/>
      <c r="O38" s="166"/>
      <c r="R38" s="166"/>
      <c r="S38" s="166"/>
    </row>
    <row r="39" spans="1:19" x14ac:dyDescent="0.25">
      <c r="A39" s="166">
        <v>3</v>
      </c>
      <c r="B39" s="173" t="s">
        <v>214</v>
      </c>
      <c r="C39" s="178"/>
      <c r="D39" s="178"/>
      <c r="E39" s="178"/>
      <c r="F39" s="178"/>
      <c r="G39" s="178"/>
      <c r="H39" s="178"/>
      <c r="I39" s="178"/>
      <c r="J39" s="178"/>
      <c r="K39" s="178"/>
      <c r="L39" s="178"/>
      <c r="M39" s="178"/>
      <c r="N39" s="178"/>
      <c r="O39" s="166"/>
      <c r="R39" s="166"/>
      <c r="S39" s="166"/>
    </row>
    <row r="40" spans="1:19" x14ac:dyDescent="0.25">
      <c r="A40" s="166">
        <v>4</v>
      </c>
      <c r="B40" s="173" t="s">
        <v>215</v>
      </c>
      <c r="C40" s="178"/>
      <c r="D40" s="178"/>
      <c r="E40" s="178"/>
      <c r="F40" s="178"/>
      <c r="G40" s="178"/>
      <c r="H40" s="178"/>
      <c r="I40" s="178"/>
      <c r="J40" s="178"/>
      <c r="K40" s="178"/>
      <c r="L40" s="178"/>
      <c r="M40" s="178"/>
      <c r="N40" s="178"/>
      <c r="O40" s="166"/>
      <c r="R40" s="166"/>
      <c r="S40" s="166"/>
    </row>
    <row r="41" spans="1:19" x14ac:dyDescent="0.25">
      <c r="A41" s="166">
        <v>5</v>
      </c>
      <c r="B41" s="173" t="s">
        <v>216</v>
      </c>
      <c r="C41" s="178"/>
      <c r="D41" s="178"/>
      <c r="E41" s="178"/>
      <c r="F41" s="178"/>
      <c r="G41" s="178"/>
      <c r="H41" s="178"/>
      <c r="I41" s="178"/>
      <c r="J41" s="178"/>
      <c r="K41" s="178"/>
      <c r="L41" s="178"/>
      <c r="M41" s="178"/>
      <c r="N41" s="178"/>
      <c r="O41" s="166"/>
      <c r="R41" s="166"/>
      <c r="S41" s="166"/>
    </row>
    <row r="42" spans="1:19" x14ac:dyDescent="0.25">
      <c r="A42" s="166">
        <v>6</v>
      </c>
      <c r="B42" s="173" t="s">
        <v>217</v>
      </c>
      <c r="C42" s="178"/>
      <c r="D42" s="178"/>
      <c r="E42" s="178"/>
      <c r="F42" s="178"/>
      <c r="G42" s="178"/>
      <c r="H42" s="178"/>
      <c r="I42" s="178"/>
      <c r="J42" s="178"/>
      <c r="K42" s="178"/>
      <c r="L42" s="178"/>
      <c r="M42" s="178"/>
      <c r="N42" s="178"/>
      <c r="O42" s="166"/>
      <c r="R42" s="166"/>
      <c r="S42" s="166"/>
    </row>
    <row r="43" spans="1:19" x14ac:dyDescent="0.25">
      <c r="A43" s="166">
        <v>7</v>
      </c>
      <c r="B43" s="173" t="s">
        <v>218</v>
      </c>
      <c r="C43" s="178"/>
      <c r="D43" s="178"/>
      <c r="E43" s="178"/>
      <c r="F43" s="178"/>
      <c r="G43" s="178"/>
      <c r="H43" s="178"/>
      <c r="I43" s="178"/>
      <c r="J43" s="178"/>
      <c r="K43" s="178"/>
      <c r="L43" s="178"/>
      <c r="M43" s="178"/>
      <c r="N43" s="178"/>
      <c r="O43" s="166"/>
      <c r="R43" s="166"/>
      <c r="S43" s="166"/>
    </row>
    <row r="44" spans="1:19" x14ac:dyDescent="0.25">
      <c r="A44" s="166">
        <v>8</v>
      </c>
      <c r="B44" s="173" t="s">
        <v>219</v>
      </c>
      <c r="C44" s="178"/>
      <c r="D44" s="178"/>
      <c r="E44" s="178"/>
      <c r="F44" s="178"/>
      <c r="G44" s="178"/>
      <c r="H44" s="178"/>
      <c r="I44" s="178"/>
      <c r="J44" s="178"/>
      <c r="K44" s="178"/>
      <c r="L44" s="178"/>
      <c r="M44" s="178"/>
      <c r="N44" s="178"/>
      <c r="O44" s="166"/>
      <c r="R44" s="166"/>
      <c r="S44" s="166"/>
    </row>
    <row r="45" spans="1:19" x14ac:dyDescent="0.25">
      <c r="A45" s="166">
        <v>9</v>
      </c>
      <c r="B45" s="173" t="s">
        <v>182</v>
      </c>
      <c r="C45" s="178"/>
      <c r="D45" s="178"/>
      <c r="E45" s="178"/>
      <c r="F45" s="178"/>
      <c r="G45" s="178"/>
      <c r="H45" s="178"/>
      <c r="I45" s="178"/>
      <c r="J45" s="178"/>
      <c r="K45" s="178"/>
      <c r="L45" s="178"/>
      <c r="M45" s="178"/>
      <c r="N45" s="178"/>
      <c r="O45" s="166"/>
      <c r="R45" s="166"/>
      <c r="S45" s="166"/>
    </row>
    <row r="46" spans="1:19" x14ac:dyDescent="0.25">
      <c r="A46" s="166">
        <v>10</v>
      </c>
      <c r="B46" s="174" t="s">
        <v>220</v>
      </c>
      <c r="C46" s="178"/>
      <c r="D46" s="178"/>
      <c r="E46" s="178"/>
      <c r="F46" s="178"/>
      <c r="G46" s="178"/>
      <c r="H46" s="178"/>
      <c r="I46" s="178"/>
      <c r="J46" s="178"/>
      <c r="K46" s="178"/>
      <c r="L46" s="178"/>
      <c r="M46" s="178"/>
      <c r="N46" s="178"/>
      <c r="O46" s="166"/>
      <c r="R46" s="166"/>
      <c r="S46" s="166"/>
    </row>
    <row r="47" spans="1:19" x14ac:dyDescent="0.25">
      <c r="A47" s="166">
        <v>11</v>
      </c>
      <c r="B47" s="174" t="s">
        <v>221</v>
      </c>
      <c r="C47" s="178"/>
      <c r="D47" s="178"/>
      <c r="E47" s="178"/>
      <c r="F47" s="178"/>
      <c r="G47" s="178"/>
      <c r="H47" s="178"/>
      <c r="I47" s="178"/>
      <c r="J47" s="178"/>
      <c r="K47" s="178"/>
      <c r="L47" s="178"/>
      <c r="M47" s="178"/>
      <c r="N47" s="178"/>
      <c r="O47" s="166"/>
      <c r="R47" s="166"/>
      <c r="S47" s="166"/>
    </row>
    <row r="48" spans="1:19" x14ac:dyDescent="0.25">
      <c r="A48" s="166">
        <v>12</v>
      </c>
      <c r="B48" s="175" t="s">
        <v>222</v>
      </c>
      <c r="C48" s="178"/>
      <c r="D48" s="178"/>
      <c r="E48" s="178"/>
      <c r="F48" s="178"/>
      <c r="G48" s="178"/>
      <c r="H48" s="178"/>
      <c r="I48" s="178"/>
      <c r="J48" s="178"/>
      <c r="K48" s="178"/>
      <c r="L48" s="178"/>
      <c r="M48" s="178"/>
      <c r="N48" s="178"/>
      <c r="O48" s="166"/>
      <c r="R48" s="166"/>
      <c r="S48" s="166"/>
    </row>
    <row r="49" spans="1:19" x14ac:dyDescent="0.25">
      <c r="A49" s="166">
        <v>13</v>
      </c>
      <c r="B49" s="175" t="s">
        <v>223</v>
      </c>
      <c r="C49" s="178"/>
      <c r="D49" s="178"/>
      <c r="E49" s="178"/>
      <c r="F49" s="178"/>
      <c r="G49" s="178"/>
      <c r="H49" s="178"/>
      <c r="I49" s="178"/>
      <c r="J49" s="178"/>
      <c r="K49" s="178"/>
      <c r="L49" s="178"/>
      <c r="M49" s="178"/>
      <c r="N49" s="178"/>
      <c r="O49" s="166"/>
      <c r="R49" s="166"/>
      <c r="S49" s="166"/>
    </row>
    <row r="50" spans="1:19" x14ac:dyDescent="0.25">
      <c r="A50" s="166">
        <v>14</v>
      </c>
      <c r="B50" s="175" t="s">
        <v>224</v>
      </c>
      <c r="C50" s="178"/>
      <c r="D50" s="178"/>
      <c r="E50" s="178"/>
      <c r="F50" s="178"/>
      <c r="G50" s="178"/>
      <c r="H50" s="178"/>
      <c r="I50" s="178"/>
      <c r="J50" s="178"/>
      <c r="K50" s="178"/>
      <c r="L50" s="178"/>
      <c r="M50" s="178"/>
      <c r="N50" s="178"/>
      <c r="O50" s="166"/>
      <c r="R50" s="166"/>
      <c r="S50" s="166"/>
    </row>
    <row r="51" spans="1:19" x14ac:dyDescent="0.25">
      <c r="A51" s="166">
        <v>15</v>
      </c>
      <c r="B51" s="175" t="s">
        <v>225</v>
      </c>
      <c r="C51" s="178"/>
      <c r="D51" s="178"/>
      <c r="E51" s="178"/>
      <c r="F51" s="178"/>
      <c r="G51" s="178"/>
      <c r="H51" s="178"/>
      <c r="I51" s="178"/>
      <c r="J51" s="178"/>
      <c r="K51" s="178"/>
      <c r="L51" s="178"/>
      <c r="M51" s="178"/>
      <c r="N51" s="178"/>
      <c r="O51" s="166"/>
      <c r="R51" s="166"/>
      <c r="S51" s="166"/>
    </row>
    <row r="52" spans="1:19" x14ac:dyDescent="0.25">
      <c r="A52" s="166">
        <v>16</v>
      </c>
      <c r="B52" s="175" t="s">
        <v>226</v>
      </c>
      <c r="C52" s="178"/>
      <c r="D52" s="178"/>
      <c r="E52" s="178"/>
      <c r="F52" s="178"/>
      <c r="G52" s="178"/>
      <c r="H52" s="178"/>
      <c r="I52" s="178"/>
      <c r="J52" s="178"/>
      <c r="K52" s="178"/>
      <c r="L52" s="178"/>
      <c r="M52" s="178"/>
      <c r="N52" s="178"/>
      <c r="O52" s="166"/>
      <c r="R52" s="166"/>
      <c r="S52" s="166"/>
    </row>
    <row r="53" spans="1:19" x14ac:dyDescent="0.25">
      <c r="A53" s="166"/>
      <c r="B53" s="173" t="s">
        <v>227</v>
      </c>
      <c r="C53" s="178"/>
      <c r="D53" s="178"/>
      <c r="E53" s="178"/>
      <c r="F53" s="178"/>
      <c r="G53" s="178"/>
      <c r="H53" s="178"/>
      <c r="I53" s="178"/>
      <c r="J53" s="178"/>
      <c r="K53" s="178"/>
      <c r="L53" s="178"/>
      <c r="M53" s="178"/>
      <c r="N53" s="178"/>
      <c r="O53" s="166"/>
      <c r="R53" s="166"/>
      <c r="S53" s="166"/>
    </row>
    <row r="54" spans="1:19" x14ac:dyDescent="0.25">
      <c r="A54" s="166"/>
      <c r="B54" s="173" t="s">
        <v>143</v>
      </c>
      <c r="C54" s="166"/>
      <c r="D54" s="166"/>
      <c r="E54" s="166"/>
      <c r="F54" s="166"/>
      <c r="G54" s="166"/>
      <c r="H54" s="166"/>
      <c r="I54" s="166"/>
      <c r="J54" s="166"/>
      <c r="K54" s="166"/>
      <c r="L54" s="166"/>
      <c r="M54" s="166"/>
      <c r="N54" s="166">
        <f>SUM(N38:N53)</f>
        <v>0</v>
      </c>
      <c r="O54" s="166"/>
      <c r="R54" s="166"/>
      <c r="S54" s="166"/>
    </row>
    <row r="55" spans="1:19" x14ac:dyDescent="0.25">
      <c r="B55" s="589" t="s">
        <v>854</v>
      </c>
    </row>
    <row r="56" spans="1:19" x14ac:dyDescent="0.25">
      <c r="A56" s="166">
        <v>1</v>
      </c>
      <c r="B56" s="789" t="s">
        <v>427</v>
      </c>
      <c r="C56" s="166"/>
      <c r="D56" s="166"/>
      <c r="E56" s="166"/>
      <c r="F56" s="166"/>
      <c r="G56" s="166"/>
      <c r="H56" s="166"/>
      <c r="I56" s="166"/>
      <c r="J56" s="166"/>
      <c r="K56" s="166"/>
      <c r="L56" s="166"/>
      <c r="M56" s="166"/>
      <c r="N56" s="166"/>
      <c r="O56" s="166"/>
    </row>
    <row r="57" spans="1:19" x14ac:dyDescent="0.25">
      <c r="A57" s="166">
        <v>2</v>
      </c>
      <c r="B57" s="789" t="s">
        <v>428</v>
      </c>
      <c r="C57" s="166"/>
      <c r="D57" s="166"/>
      <c r="E57" s="166"/>
      <c r="F57" s="166"/>
      <c r="G57" s="166"/>
      <c r="H57" s="166"/>
      <c r="I57" s="166"/>
      <c r="J57" s="166"/>
      <c r="K57" s="166"/>
      <c r="L57" s="166"/>
      <c r="M57" s="166"/>
      <c r="N57" s="166"/>
      <c r="O57" s="166"/>
    </row>
    <row r="58" spans="1:19" x14ac:dyDescent="0.25">
      <c r="A58" s="166">
        <v>3</v>
      </c>
      <c r="B58" s="789" t="s">
        <v>429</v>
      </c>
      <c r="C58" s="166"/>
      <c r="D58" s="166"/>
      <c r="E58" s="166"/>
      <c r="F58" s="166"/>
      <c r="G58" s="166"/>
      <c r="H58" s="166"/>
      <c r="I58" s="166"/>
      <c r="J58" s="166"/>
      <c r="K58" s="166"/>
      <c r="L58" s="166"/>
      <c r="M58" s="166"/>
      <c r="N58" s="166"/>
      <c r="O58" s="166"/>
    </row>
    <row r="59" spans="1:19" x14ac:dyDescent="0.25">
      <c r="A59" s="166"/>
      <c r="B59" s="790" t="s">
        <v>855</v>
      </c>
      <c r="C59" s="166"/>
      <c r="D59" s="166"/>
      <c r="E59" s="166"/>
      <c r="F59" s="166"/>
      <c r="G59" s="166"/>
      <c r="H59" s="166"/>
      <c r="I59" s="166"/>
      <c r="J59" s="166"/>
      <c r="K59" s="166"/>
      <c r="L59" s="166"/>
      <c r="M59" s="166"/>
      <c r="N59" s="166"/>
      <c r="O59" s="166"/>
    </row>
    <row r="60" spans="1:19" x14ac:dyDescent="0.25">
      <c r="A60" s="166">
        <v>1</v>
      </c>
      <c r="B60" s="789" t="s">
        <v>856</v>
      </c>
      <c r="C60" s="166"/>
      <c r="D60" s="166"/>
      <c r="E60" s="166"/>
      <c r="F60" s="166"/>
      <c r="G60" s="166"/>
      <c r="H60" s="166"/>
      <c r="I60" s="166"/>
      <c r="J60" s="166"/>
      <c r="K60" s="166"/>
      <c r="L60" s="166"/>
      <c r="M60" s="166"/>
      <c r="N60" s="166"/>
      <c r="O60" s="166"/>
    </row>
    <row r="61" spans="1:19" x14ac:dyDescent="0.25">
      <c r="A61" s="166">
        <v>2</v>
      </c>
      <c r="B61" s="789" t="s">
        <v>107</v>
      </c>
      <c r="C61" s="166"/>
      <c r="D61" s="166"/>
      <c r="E61" s="166"/>
      <c r="F61" s="166"/>
      <c r="G61" s="166"/>
      <c r="H61" s="166"/>
      <c r="I61" s="166"/>
      <c r="J61" s="166"/>
      <c r="K61" s="166"/>
      <c r="L61" s="166"/>
      <c r="M61" s="166"/>
      <c r="N61" s="166"/>
      <c r="O61" s="166"/>
    </row>
  </sheetData>
  <mergeCells count="12">
    <mergeCell ref="A1:B1"/>
    <mergeCell ref="O3:O5"/>
    <mergeCell ref="C4:E4"/>
    <mergeCell ref="F4:I4"/>
    <mergeCell ref="R3:S4"/>
    <mergeCell ref="A2:B2"/>
    <mergeCell ref="A3:A5"/>
    <mergeCell ref="B3:B5"/>
    <mergeCell ref="C3:I3"/>
    <mergeCell ref="J3:N3"/>
    <mergeCell ref="J4:M4"/>
    <mergeCell ref="C1:E1"/>
  </mergeCells>
  <pageMargins left="0.70866141732283472" right="0.70866141732283472" top="0.74803149606299213" bottom="0.74803149606299213" header="0.31496062992125984" footer="0.31496062992125984"/>
  <pageSetup paperSize="9" scale="6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view="pageBreakPreview" topLeftCell="A10" zoomScale="60" zoomScaleNormal="100" workbookViewId="0">
      <selection activeCell="K24" sqref="K24"/>
    </sheetView>
  </sheetViews>
  <sheetFormatPr defaultRowHeight="15" x14ac:dyDescent="0.25"/>
  <cols>
    <col min="1" max="1" width="6.7109375" customWidth="1"/>
    <col min="2" max="2" width="19" customWidth="1"/>
    <col min="3" max="3" width="10.28515625" customWidth="1"/>
    <col min="4" max="4" width="14.42578125" customWidth="1"/>
    <col min="5" max="5" width="34" customWidth="1"/>
    <col min="6" max="6" width="21.42578125" customWidth="1"/>
    <col min="7" max="7" width="17.28515625" bestFit="1" customWidth="1"/>
    <col min="8" max="8" width="11.7109375" bestFit="1" customWidth="1"/>
  </cols>
  <sheetData>
    <row r="1" spans="1:8" x14ac:dyDescent="0.25">
      <c r="A1" s="1993" t="s">
        <v>233</v>
      </c>
      <c r="B1" s="1993"/>
    </row>
    <row r="2" spans="1:8" x14ac:dyDescent="0.25">
      <c r="A2" s="1993" t="s">
        <v>234</v>
      </c>
      <c r="B2" s="1993"/>
      <c r="C2" t="s">
        <v>105</v>
      </c>
    </row>
    <row r="3" spans="1:8" ht="22.5" customHeight="1" x14ac:dyDescent="0.25">
      <c r="A3" s="363"/>
      <c r="C3" s="2005" t="s">
        <v>786</v>
      </c>
      <c r="D3" s="2005"/>
      <c r="E3" s="2005"/>
      <c r="F3" s="2005" t="s">
        <v>785</v>
      </c>
      <c r="G3" s="2005"/>
      <c r="H3" s="2005"/>
    </row>
    <row r="4" spans="1:8" s="15" customFormat="1" ht="86.25" customHeight="1" x14ac:dyDescent="0.25">
      <c r="A4" s="795" t="s">
        <v>878</v>
      </c>
      <c r="B4" s="795" t="s">
        <v>887</v>
      </c>
      <c r="C4" s="795" t="s">
        <v>879</v>
      </c>
      <c r="D4" s="795" t="s">
        <v>880</v>
      </c>
      <c r="E4" s="795" t="s">
        <v>882</v>
      </c>
      <c r="F4" s="795" t="s">
        <v>886</v>
      </c>
      <c r="G4" s="795" t="s">
        <v>813</v>
      </c>
      <c r="H4" s="796" t="s">
        <v>200</v>
      </c>
    </row>
    <row r="5" spans="1:8" x14ac:dyDescent="0.25">
      <c r="A5" s="166"/>
      <c r="B5" s="166"/>
      <c r="C5" s="166"/>
      <c r="D5" s="166"/>
      <c r="E5" s="166"/>
      <c r="F5" s="166"/>
      <c r="G5" s="166"/>
      <c r="H5" s="166"/>
    </row>
    <row r="6" spans="1:8" x14ac:dyDescent="0.25">
      <c r="A6" s="166"/>
      <c r="B6" s="166"/>
      <c r="C6" s="166"/>
      <c r="D6" s="166"/>
      <c r="E6" s="166"/>
      <c r="F6" s="166"/>
      <c r="G6" s="166"/>
      <c r="H6" s="166"/>
    </row>
    <row r="7" spans="1:8" x14ac:dyDescent="0.25">
      <c r="A7" s="166"/>
      <c r="B7" s="166"/>
      <c r="C7" s="166"/>
      <c r="D7" s="166"/>
      <c r="E7" s="166"/>
      <c r="F7" s="166"/>
      <c r="G7" s="166"/>
      <c r="H7" s="166"/>
    </row>
    <row r="8" spans="1:8" x14ac:dyDescent="0.25">
      <c r="A8" s="166"/>
      <c r="B8" s="166"/>
      <c r="C8" s="166"/>
      <c r="D8" s="166"/>
      <c r="E8" s="166"/>
      <c r="F8" s="166"/>
      <c r="G8" s="166"/>
      <c r="H8" s="166"/>
    </row>
    <row r="9" spans="1:8" x14ac:dyDescent="0.25">
      <c r="A9" s="166"/>
      <c r="B9" s="166"/>
      <c r="C9" s="166"/>
      <c r="D9" s="166"/>
      <c r="E9" s="166"/>
      <c r="F9" s="166"/>
      <c r="G9" s="166"/>
      <c r="H9" s="166"/>
    </row>
    <row r="10" spans="1:8" x14ac:dyDescent="0.25">
      <c r="A10" s="166"/>
      <c r="B10" s="166"/>
      <c r="C10" s="166"/>
      <c r="D10" s="166"/>
      <c r="E10" s="166"/>
      <c r="F10" s="166"/>
      <c r="G10" s="166"/>
      <c r="H10" s="166"/>
    </row>
    <row r="11" spans="1:8" x14ac:dyDescent="0.25">
      <c r="A11" s="166"/>
      <c r="B11" s="166"/>
      <c r="C11" s="166"/>
      <c r="D11" s="166"/>
      <c r="E11" s="166"/>
      <c r="F11" s="166"/>
      <c r="G11" s="166"/>
      <c r="H11" s="166"/>
    </row>
    <row r="12" spans="1:8" x14ac:dyDescent="0.25">
      <c r="A12" s="166"/>
      <c r="B12" s="166"/>
      <c r="C12" s="166"/>
      <c r="D12" s="166"/>
      <c r="E12" s="166"/>
      <c r="F12" s="166"/>
      <c r="G12" s="166"/>
      <c r="H12" s="166"/>
    </row>
    <row r="13" spans="1:8" x14ac:dyDescent="0.25">
      <c r="A13" s="166"/>
      <c r="B13" s="166"/>
      <c r="C13" s="166"/>
      <c r="D13" s="166"/>
      <c r="E13" s="166"/>
      <c r="F13" s="166"/>
      <c r="G13" s="166"/>
      <c r="H13" s="166"/>
    </row>
    <row r="14" spans="1:8" x14ac:dyDescent="0.25">
      <c r="A14" s="166"/>
      <c r="B14" s="166"/>
      <c r="C14" s="166"/>
      <c r="D14" s="166"/>
      <c r="E14" s="166"/>
      <c r="F14" s="166"/>
      <c r="G14" s="166"/>
      <c r="H14" s="166"/>
    </row>
    <row r="15" spans="1:8" x14ac:dyDescent="0.25">
      <c r="A15" s="166" t="s">
        <v>922</v>
      </c>
      <c r="B15" s="166"/>
      <c r="C15" s="166"/>
      <c r="D15" s="166"/>
      <c r="E15" s="166"/>
      <c r="F15" s="166"/>
      <c r="G15" s="166"/>
      <c r="H15" s="166"/>
    </row>
    <row r="17" spans="1:8" x14ac:dyDescent="0.25">
      <c r="A17" t="s">
        <v>881</v>
      </c>
    </row>
    <row r="18" spans="1:8" ht="37.5" customHeight="1" x14ac:dyDescent="0.25">
      <c r="A18" s="2006" t="s">
        <v>888</v>
      </c>
      <c r="B18" s="2006"/>
      <c r="C18" s="2006"/>
      <c r="D18" s="2006"/>
      <c r="E18" s="2006"/>
      <c r="F18" s="2006"/>
      <c r="G18" s="2006"/>
      <c r="H18" s="2006"/>
    </row>
    <row r="19" spans="1:8" x14ac:dyDescent="0.25">
      <c r="A19" t="s">
        <v>883</v>
      </c>
    </row>
    <row r="20" spans="1:8" x14ac:dyDescent="0.25">
      <c r="A20" t="s">
        <v>884</v>
      </c>
    </row>
    <row r="21" spans="1:8" x14ac:dyDescent="0.25">
      <c r="A21" t="s">
        <v>885</v>
      </c>
    </row>
    <row r="23" spans="1:8" x14ac:dyDescent="0.25">
      <c r="A23" t="s">
        <v>920</v>
      </c>
    </row>
    <row r="24" spans="1:8" s="15" customFormat="1" ht="86.25" customHeight="1" x14ac:dyDescent="0.25">
      <c r="A24" s="812" t="s">
        <v>878</v>
      </c>
      <c r="B24" s="812" t="s">
        <v>887</v>
      </c>
      <c r="C24" s="812" t="s">
        <v>879</v>
      </c>
      <c r="D24" s="812" t="s">
        <v>957</v>
      </c>
      <c r="E24" s="812" t="s">
        <v>882</v>
      </c>
      <c r="F24" s="812" t="s">
        <v>886</v>
      </c>
      <c r="G24" s="812" t="s">
        <v>813</v>
      </c>
      <c r="H24" s="814" t="s">
        <v>200</v>
      </c>
    </row>
    <row r="25" spans="1:8" x14ac:dyDescent="0.25">
      <c r="A25" s="166">
        <v>1</v>
      </c>
      <c r="B25" s="166"/>
      <c r="C25" s="166"/>
      <c r="D25" s="166"/>
      <c r="E25" s="166"/>
      <c r="F25" s="166"/>
      <c r="G25" s="166"/>
      <c r="H25" s="166"/>
    </row>
    <row r="26" spans="1:8" x14ac:dyDescent="0.25">
      <c r="A26" s="166"/>
      <c r="B26" s="166"/>
      <c r="C26" s="166"/>
      <c r="D26" s="166"/>
      <c r="E26" s="166"/>
      <c r="F26" s="166"/>
      <c r="G26" s="166"/>
      <c r="H26" s="166"/>
    </row>
    <row r="27" spans="1:8" x14ac:dyDescent="0.25">
      <c r="A27" s="166"/>
      <c r="B27" s="166"/>
      <c r="C27" s="166"/>
      <c r="D27" s="166"/>
      <c r="E27" s="166"/>
      <c r="F27" s="166"/>
      <c r="G27" s="166"/>
      <c r="H27" s="166"/>
    </row>
    <row r="28" spans="1:8" x14ac:dyDescent="0.25">
      <c r="A28" s="166"/>
      <c r="B28" s="166"/>
      <c r="C28" s="166"/>
      <c r="D28" s="166"/>
      <c r="E28" s="166"/>
      <c r="F28" s="166"/>
      <c r="G28" s="166"/>
      <c r="H28" s="166"/>
    </row>
    <row r="29" spans="1:8" x14ac:dyDescent="0.25">
      <c r="A29" s="166"/>
      <c r="B29" s="166"/>
      <c r="C29" s="166"/>
      <c r="D29" s="166"/>
      <c r="E29" s="166"/>
      <c r="F29" s="166"/>
      <c r="G29" s="166"/>
      <c r="H29" s="166"/>
    </row>
    <row r="30" spans="1:8" x14ac:dyDescent="0.25">
      <c r="A30" s="166"/>
      <c r="B30" s="166"/>
      <c r="C30" s="166"/>
      <c r="D30" s="166"/>
      <c r="E30" s="166"/>
      <c r="F30" s="166"/>
      <c r="G30" s="166"/>
      <c r="H30" s="166"/>
    </row>
    <row r="31" spans="1:8" x14ac:dyDescent="0.25">
      <c r="A31" s="166"/>
      <c r="B31" s="166"/>
      <c r="C31" s="166"/>
      <c r="D31" s="166"/>
      <c r="E31" s="166"/>
      <c r="F31" s="166"/>
      <c r="G31" s="166"/>
      <c r="H31" s="166"/>
    </row>
    <row r="32" spans="1:8" x14ac:dyDescent="0.25">
      <c r="A32" s="166"/>
      <c r="B32" s="166"/>
      <c r="C32" s="166"/>
      <c r="D32" s="166"/>
      <c r="E32" s="166"/>
      <c r="F32" s="166"/>
      <c r="G32" s="166"/>
      <c r="H32" s="166"/>
    </row>
    <row r="33" spans="1:8" x14ac:dyDescent="0.25">
      <c r="A33" s="166"/>
      <c r="B33" s="166"/>
      <c r="C33" s="166"/>
      <c r="D33" s="166"/>
      <c r="E33" s="166"/>
      <c r="F33" s="166"/>
      <c r="G33" s="166"/>
      <c r="H33" s="166"/>
    </row>
    <row r="34" spans="1:8" x14ac:dyDescent="0.25">
      <c r="A34" s="166"/>
      <c r="B34" s="166"/>
      <c r="C34" s="166"/>
      <c r="D34" s="166"/>
      <c r="E34" s="166"/>
      <c r="F34" s="166"/>
      <c r="G34" s="166"/>
      <c r="H34" s="166"/>
    </row>
    <row r="35" spans="1:8" x14ac:dyDescent="0.25">
      <c r="A35" s="166" t="s">
        <v>921</v>
      </c>
      <c r="B35" s="166"/>
      <c r="C35" s="166"/>
      <c r="D35" s="166"/>
      <c r="E35" s="166"/>
      <c r="F35" s="166"/>
      <c r="G35" s="166"/>
      <c r="H35" s="166"/>
    </row>
    <row r="36" spans="1:8" x14ac:dyDescent="0.25">
      <c r="A36" t="s">
        <v>923</v>
      </c>
    </row>
  </sheetData>
  <mergeCells count="5">
    <mergeCell ref="A1:B1"/>
    <mergeCell ref="A2:B2"/>
    <mergeCell ref="C3:E3"/>
    <mergeCell ref="F3:H3"/>
    <mergeCell ref="A18:H18"/>
  </mergeCells>
  <pageMargins left="0.7" right="0.7" top="0.75" bottom="0.75" header="0.3" footer="0.3"/>
  <pageSetup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Guidelines</vt:lpstr>
      <vt:lpstr>State PIP</vt:lpstr>
      <vt:lpstr>SOE Last four quarters</vt:lpstr>
      <vt:lpstr>List</vt:lpstr>
      <vt:lpstr>District (2)</vt:lpstr>
      <vt:lpstr>Priority Areas</vt:lpstr>
      <vt:lpstr>Organization of services</vt:lpstr>
      <vt:lpstr>Contractual staff</vt:lpstr>
      <vt:lpstr>PP NGO Support</vt:lpstr>
      <vt:lpstr>RNTCP Training</vt:lpstr>
      <vt:lpstr>Districtwise Head summary</vt:lpstr>
      <vt:lpstr>Budget summary</vt:lpstr>
      <vt:lpstr>SOE Last four quarters (2)</vt:lpstr>
      <vt:lpstr>Norms</vt:lpstr>
      <vt:lpstr>Mixed</vt:lpstr>
      <vt:lpstr>Norm</vt:lpstr>
      <vt:lpstr>'District (2)'!Print_Area</vt:lpstr>
      <vt:lpstr>'Organization of services'!Print_Titles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DR.MANOJ</dc:creator>
  <cp:lastModifiedBy>RNTCP Consultant</cp:lastModifiedBy>
  <cp:lastPrinted>2013-12-02T10:50:02Z</cp:lastPrinted>
  <dcterms:created xsi:type="dcterms:W3CDTF">2013-10-10T06:46:14Z</dcterms:created>
  <dcterms:modified xsi:type="dcterms:W3CDTF">2015-01-05T04:42:24Z</dcterms:modified>
</cp:coreProperties>
</file>